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120" windowHeight="8415" activeTab="0"/>
  </bookViews>
  <sheets>
    <sheet name="Description" sheetId="1" r:id="rId1"/>
    <sheet name="Assumptions" sheetId="2" r:id="rId2"/>
    <sheet name="Calcs" sheetId="3" r:id="rId3"/>
  </sheets>
  <definedNames/>
  <calcPr fullCalcOnLoad="1"/>
</workbook>
</file>

<file path=xl/sharedStrings.xml><?xml version="1.0" encoding="utf-8"?>
<sst xmlns="http://schemas.openxmlformats.org/spreadsheetml/2006/main" count="386" uniqueCount="101">
  <si>
    <t>Source</t>
  </si>
  <si>
    <t>Type</t>
  </si>
  <si>
    <t>Unit</t>
  </si>
  <si>
    <t>Input</t>
  </si>
  <si>
    <t>Assumptions</t>
  </si>
  <si>
    <t>Blood type</t>
  </si>
  <si>
    <t>Y</t>
  </si>
  <si>
    <t>Donor</t>
  </si>
  <si>
    <t xml:space="preserve">Recipient </t>
  </si>
  <si>
    <t>Value</t>
  </si>
  <si>
    <t>American Red Cross</t>
  </si>
  <si>
    <t>yes/no</t>
  </si>
  <si>
    <t>% people</t>
  </si>
  <si>
    <t>Calculations</t>
  </si>
  <si>
    <t>calc</t>
  </si>
  <si>
    <t>%</t>
  </si>
  <si>
    <t>O</t>
  </si>
  <si>
    <t>A</t>
  </si>
  <si>
    <t>B</t>
  </si>
  <si>
    <t>AB</t>
  </si>
  <si>
    <t>feed</t>
  </si>
  <si>
    <t>Probability of pair compatibility</t>
  </si>
  <si>
    <t>eprio assumption</t>
  </si>
  <si>
    <t>#</t>
  </si>
  <si>
    <t>total</t>
  </si>
  <si>
    <t>% pairs</t>
  </si>
  <si>
    <t>Y/N</t>
  </si>
  <si>
    <t>% compatible pairs entered in system (irregardless of blood type)</t>
  </si>
  <si>
    <t>Compatibility by blood type</t>
  </si>
  <si>
    <t>U.S. Distribution by blood type</t>
  </si>
  <si>
    <t>Cross-matches possible pre-NOAM</t>
  </si>
  <si>
    <t>Results</t>
  </si>
  <si>
    <t>Cross-matches possible post-NOAM</t>
  </si>
  <si>
    <t>Number of donors</t>
  </si>
  <si>
    <t>Number of recipients</t>
  </si>
  <si>
    <t># people</t>
  </si>
  <si>
    <t>$</t>
  </si>
  <si>
    <t>Cost savings from NOAM</t>
  </si>
  <si>
    <t>Cost savings from incremental matches</t>
  </si>
  <si>
    <t>Patients in system</t>
  </si>
  <si>
    <t>Treatment cost</t>
  </si>
  <si>
    <t>s</t>
  </si>
  <si>
    <t>A;B/B;A</t>
  </si>
  <si>
    <t>A;O/O;A</t>
  </si>
  <si>
    <t>B;O/O;B</t>
  </si>
  <si>
    <t>AB;A/A;AB</t>
  </si>
  <si>
    <t>AB;B/B;AB</t>
  </si>
  <si>
    <t>A;O,B;O,AB;A,AB;B,AB;O/O;AB</t>
  </si>
  <si>
    <t>check</t>
  </si>
  <si>
    <t>U.S. Dist.</t>
  </si>
  <si>
    <t>Distribution by blood type</t>
  </si>
  <si>
    <t>J Am Soc Nephrol 13:S37-S40, 2002</t>
  </si>
  <si>
    <t>Annual cost of care</t>
  </si>
  <si>
    <r>
      <t>Woodward, Robert. and Soares, Ricardo.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"Income-Related Disparities in Kidney Transplant Graft Failures Are Eliminated by Medicare’s Immunosuppression Coverage", 2006</t>
    </r>
  </si>
  <si>
    <t>Pair distribution</t>
  </si>
  <si>
    <t>Total cross-matches pre-NOAM</t>
  </si>
  <si>
    <t>Total cross-matches post-NOAM</t>
  </si>
  <si>
    <t>Compatible pairs entered (irregardless of blood type)</t>
  </si>
  <si>
    <t>Total transplants post-NOAM</t>
  </si>
  <si>
    <t>Total transplants (direct + cross-matched) pre-NOAM</t>
  </si>
  <si>
    <t>By individual</t>
  </si>
  <si>
    <t>By pair</t>
  </si>
  <si>
    <t>O;O</t>
  </si>
  <si>
    <t>A;A</t>
  </si>
  <si>
    <t>B;B</t>
  </si>
  <si>
    <t>AB;AB</t>
  </si>
  <si>
    <t>Recipient/Donor participants</t>
  </si>
  <si>
    <t>Matching pairs (recipient;donor)</t>
  </si>
  <si>
    <t>Cross-matching pairs (recipient;donor/recipient;donor)</t>
  </si>
  <si>
    <t>Direct pairs made available via NOAM</t>
  </si>
  <si>
    <t>Cross-Matching pre-NOAM (only incompatible pairs entered)</t>
  </si>
  <si>
    <t>Cross-Matching post-NOAM (some compatible pairs entered)</t>
  </si>
  <si>
    <t>Cross-Matching comparison pre/post-NOAM</t>
  </si>
  <si>
    <t>Incremental transplants made via NOAM</t>
  </si>
  <si>
    <t>Total transplants (direct + cross-matched) post-NOAM</t>
  </si>
  <si>
    <t>Total transplants pre-NOAM</t>
  </si>
  <si>
    <t>Kidney transplant (1 time)</t>
  </si>
  <si>
    <t>Immunosuppressant Tx</t>
  </si>
  <si>
    <t># years</t>
  </si>
  <si>
    <t>Dr William Harmon Boston 2009</t>
  </si>
  <si>
    <t>Transplant amortization (straight line)</t>
  </si>
  <si>
    <t>Est. annual cost of transplant</t>
  </si>
  <si>
    <t>Transplant straight line amortization (transplant half life)</t>
  </si>
  <si>
    <t>Kidney transplant (1 time cost)</t>
  </si>
  <si>
    <t>Total direct matches made pre-NOAM</t>
  </si>
  <si>
    <t>Total cross-matches made pre-NOAM</t>
  </si>
  <si>
    <t>Total cross-matches made post-NOAM</t>
  </si>
  <si>
    <t>Total direct matches made post-NOAM</t>
  </si>
  <si>
    <t>Annual cost savings from NOAM</t>
  </si>
  <si>
    <t>Incremental cross-matches made via NOAM</t>
  </si>
  <si>
    <t>End Stage Renal Disease (ESRD) Tx</t>
  </si>
  <si>
    <t>Influence of participation by compatible kidney recipient/donor pairs</t>
  </si>
  <si>
    <t xml:space="preserve">     on paired exchange programs and living donor transplants </t>
  </si>
  <si>
    <t xml:space="preserve">  NOAM</t>
  </si>
  <si>
    <t xml:space="preserve">      Network  for Organ Automated Matching</t>
  </si>
  <si>
    <t xml:space="preserve">       06/02/2009</t>
  </si>
  <si>
    <t>Stanford School of Medicine/Scientific Registry of Transplant Recipients</t>
  </si>
  <si>
    <t>US Living Donors</t>
  </si>
  <si>
    <t>US Recipients from Living Donors</t>
  </si>
  <si>
    <t xml:space="preserve">          Preliminary model based on blood type compatibility (*)</t>
  </si>
  <si>
    <t xml:space="preserve">    (*) please use in conjunction with NOAM-simple-modeling.pdf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</si>
</sst>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;\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[$-409]dddd\,\ mmmm\ dd\,\ yyyy"/>
    <numFmt numFmtId="171" formatCode="[$-409]h:mm:ss\ AM/PM"/>
    <numFmt numFmtId="172" formatCode="0.0%"/>
    <numFmt numFmtId="173" formatCode="0.0000%"/>
    <numFmt numFmtId="174" formatCode="#,##0.000"/>
    <numFmt numFmtId="175" formatCode="#,##0.0"/>
  </numFmts>
  <fonts count="27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36"/>
      <color indexed="8"/>
      <name val="Lucida Handwriting"/>
      <family val="4"/>
    </font>
    <font>
      <b/>
      <sz val="10"/>
      <color indexed="8"/>
      <name val="Lucida Handwriting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9"/>
      </left>
      <right style="medium">
        <color indexed="8"/>
      </right>
      <top style="medium">
        <color indexed="9"/>
      </top>
      <bottom style="thick">
        <color indexed="8"/>
      </bottom>
    </border>
    <border>
      <left style="dashed">
        <color indexed="63"/>
      </left>
      <right>
        <color indexed="63"/>
      </right>
      <top style="dashed">
        <color indexed="63"/>
      </top>
      <bottom>
        <color indexed="63"/>
      </bottom>
    </border>
    <border>
      <left>
        <color indexed="63"/>
      </left>
      <right>
        <color indexed="63"/>
      </right>
      <top style="dashed">
        <color indexed="63"/>
      </top>
      <bottom>
        <color indexed="63"/>
      </bottom>
    </border>
    <border>
      <left style="thick">
        <color indexed="9"/>
      </left>
      <right style="medium">
        <color indexed="8"/>
      </right>
      <top style="dashed">
        <color indexed="63"/>
      </top>
      <bottom style="thick">
        <color indexed="8"/>
      </bottom>
    </border>
    <border>
      <left style="thick">
        <color indexed="9"/>
      </left>
      <right style="dashed">
        <color indexed="63"/>
      </right>
      <top style="dashed">
        <color indexed="63"/>
      </top>
      <bottom style="thick">
        <color indexed="8"/>
      </bottom>
    </border>
    <border>
      <left style="dashed">
        <color indexed="63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dashed">
        <color indexed="63"/>
      </right>
      <top style="medium">
        <color indexed="9"/>
      </top>
      <bottom style="thick">
        <color indexed="8"/>
      </bottom>
    </border>
    <border>
      <left style="dashed">
        <color indexed="63"/>
      </left>
      <right>
        <color indexed="63"/>
      </right>
      <top>
        <color indexed="63"/>
      </top>
      <bottom style="dashed"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63"/>
      </bottom>
    </border>
    <border>
      <left>
        <color indexed="63"/>
      </left>
      <right style="dashed">
        <color indexed="63"/>
      </right>
      <top>
        <color indexed="63"/>
      </top>
      <bottom style="dashed">
        <color indexed="63"/>
      </bottom>
    </border>
    <border>
      <left style="thick">
        <color indexed="9"/>
      </left>
      <right style="medium">
        <color indexed="8"/>
      </right>
      <top>
        <color indexed="63"/>
      </top>
      <bottom style="dashed">
        <color indexed="63"/>
      </bottom>
    </border>
    <border>
      <left style="dashed">
        <color indexed="63"/>
      </left>
      <right>
        <color indexed="63"/>
      </right>
      <top>
        <color indexed="63"/>
      </top>
      <bottom style="dashed">
        <color indexed="9"/>
      </bottom>
    </border>
    <border>
      <left>
        <color indexed="63"/>
      </left>
      <right>
        <color indexed="63"/>
      </right>
      <top>
        <color indexed="63"/>
      </top>
      <bottom style="dashed">
        <color indexed="9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64" fontId="0" fillId="0" borderId="0" xfId="15" applyNumberFormat="1" applyFont="1" applyAlignment="1">
      <alignment horizontal="left"/>
      <protection/>
    </xf>
    <xf numFmtId="0" fontId="2" fillId="24" borderId="10" xfId="15" applyFont="1" applyFill="1" applyBorder="1">
      <alignment/>
      <protection/>
    </xf>
    <xf numFmtId="0" fontId="3" fillId="24" borderId="10" xfId="15" applyFont="1" applyFill="1" applyBorder="1">
      <alignment/>
      <protection/>
    </xf>
    <xf numFmtId="0" fontId="2" fillId="24" borderId="10" xfId="15" applyFont="1" applyFill="1" applyBorder="1" applyAlignment="1">
      <alignment horizontal="left"/>
      <protection/>
    </xf>
    <xf numFmtId="0" fontId="3" fillId="24" borderId="10" xfId="15" applyFont="1" applyFill="1" applyBorder="1" applyAlignment="1">
      <alignment horizontal="left"/>
      <protection/>
    </xf>
    <xf numFmtId="0" fontId="2" fillId="24" borderId="10" xfId="15" applyFont="1" applyFill="1" applyBorder="1" applyAlignment="1">
      <alignment horizontal="center"/>
      <protection/>
    </xf>
    <xf numFmtId="0" fontId="4" fillId="4" borderId="0" xfId="15" applyFont="1" applyFill="1" applyBorder="1">
      <alignment/>
      <protection/>
    </xf>
    <xf numFmtId="0" fontId="3" fillId="4" borderId="0" xfId="15" applyFont="1" applyFill="1" applyBorder="1">
      <alignment/>
      <protection/>
    </xf>
    <xf numFmtId="0" fontId="2" fillId="4" borderId="0" xfId="15" applyFont="1" applyFill="1" applyBorder="1" applyAlignment="1">
      <alignment horizontal="left"/>
      <protection/>
    </xf>
    <xf numFmtId="0" fontId="3" fillId="4" borderId="0" xfId="15" applyFont="1" applyFill="1" applyBorder="1" applyAlignment="1">
      <alignment horizontal="left"/>
      <protection/>
    </xf>
    <xf numFmtId="0" fontId="2" fillId="4" borderId="0" xfId="15" applyFont="1" applyFill="1" applyBorder="1">
      <alignment/>
      <protection/>
    </xf>
    <xf numFmtId="0" fontId="2" fillId="4" borderId="0" xfId="15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0" fontId="0" fillId="16" borderId="15" xfId="0" applyFill="1" applyBorder="1" applyAlignment="1">
      <alignment/>
    </xf>
    <xf numFmtId="0" fontId="0" fillId="16" borderId="10" xfId="0" applyFill="1" applyBorder="1" applyAlignment="1">
      <alignment/>
    </xf>
    <xf numFmtId="0" fontId="0" fillId="16" borderId="11" xfId="0" applyFill="1" applyBorder="1" applyAlignment="1">
      <alignment/>
    </xf>
    <xf numFmtId="172" fontId="0" fillId="0" borderId="0" xfId="0" applyNumberFormat="1" applyAlignment="1">
      <alignment/>
    </xf>
    <xf numFmtId="0" fontId="0" fillId="2" borderId="15" xfId="0" applyFill="1" applyBorder="1" applyAlignment="1">
      <alignment/>
    </xf>
    <xf numFmtId="0" fontId="0" fillId="16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16" borderId="16" xfId="0" applyFont="1" applyFill="1" applyBorder="1" applyAlignment="1">
      <alignment/>
    </xf>
    <xf numFmtId="0" fontId="0" fillId="16" borderId="13" xfId="0" applyFont="1" applyFill="1" applyBorder="1" applyAlignment="1">
      <alignment/>
    </xf>
    <xf numFmtId="173" fontId="0" fillId="0" borderId="0" xfId="0" applyNumberFormat="1" applyAlignment="1">
      <alignment/>
    </xf>
    <xf numFmtId="172" fontId="8" fillId="25" borderId="12" xfId="0" applyNumberFormat="1" applyFont="1" applyFill="1" applyBorder="1" applyAlignment="1">
      <alignment horizontal="left"/>
    </xf>
    <xf numFmtId="172" fontId="0" fillId="0" borderId="17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72" fontId="0" fillId="0" borderId="12" xfId="0" applyNumberFormat="1" applyBorder="1" applyAlignment="1">
      <alignment horizontal="left"/>
    </xf>
    <xf numFmtId="0" fontId="0" fillId="0" borderId="12" xfId="0" applyBorder="1" applyAlignment="1">
      <alignment/>
    </xf>
    <xf numFmtId="3" fontId="8" fillId="25" borderId="12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172" fontId="6" fillId="25" borderId="12" xfId="0" applyNumberFormat="1" applyFont="1" applyFill="1" applyBorder="1" applyAlignment="1">
      <alignment horizontal="left"/>
    </xf>
    <xf numFmtId="3" fontId="6" fillId="25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/>
    </xf>
    <xf numFmtId="0" fontId="0" fillId="21" borderId="12" xfId="0" applyFill="1" applyBorder="1" applyAlignment="1">
      <alignment/>
    </xf>
    <xf numFmtId="0" fontId="6" fillId="21" borderId="12" xfId="0" applyFont="1" applyFill="1" applyBorder="1" applyAlignment="1">
      <alignment/>
    </xf>
    <xf numFmtId="172" fontId="0" fillId="21" borderId="17" xfId="0" applyNumberFormat="1" applyFill="1" applyBorder="1" applyAlignment="1">
      <alignment horizontal="left"/>
    </xf>
    <xf numFmtId="172" fontId="0" fillId="21" borderId="16" xfId="0" applyNumberFormat="1" applyFill="1" applyBorder="1" applyAlignment="1">
      <alignment horizontal="left"/>
    </xf>
    <xf numFmtId="0" fontId="3" fillId="24" borderId="18" xfId="15" applyFont="1" applyFill="1" applyBorder="1">
      <alignment/>
      <protection/>
    </xf>
    <xf numFmtId="1" fontId="0" fillId="0" borderId="0" xfId="0" applyNumberFormat="1" applyAlignment="1">
      <alignment horizontal="left"/>
    </xf>
    <xf numFmtId="1" fontId="9" fillId="0" borderId="12" xfId="0" applyNumberFormat="1" applyFont="1" applyFill="1" applyBorder="1" applyAlignment="1">
      <alignment horizontal="left"/>
    </xf>
    <xf numFmtId="1" fontId="6" fillId="0" borderId="12" xfId="0" applyNumberFormat="1" applyFont="1" applyFill="1" applyBorder="1" applyAlignment="1">
      <alignment horizontal="left"/>
    </xf>
    <xf numFmtId="1" fontId="5" fillId="0" borderId="0" xfId="0" applyNumberFormat="1" applyFont="1" applyAlignment="1">
      <alignment horizontal="left"/>
    </xf>
    <xf numFmtId="172" fontId="9" fillId="25" borderId="12" xfId="0" applyNumberFormat="1" applyFont="1" applyFill="1" applyBorder="1" applyAlignment="1">
      <alignment horizontal="left"/>
    </xf>
    <xf numFmtId="3" fontId="9" fillId="25" borderId="12" xfId="0" applyNumberFormat="1" applyFont="1" applyFill="1" applyBorder="1" applyAlignment="1">
      <alignment horizontal="left"/>
    </xf>
    <xf numFmtId="172" fontId="7" fillId="0" borderId="0" xfId="0" applyNumberFormat="1" applyFont="1" applyAlignment="1">
      <alignment horizontal="left"/>
    </xf>
    <xf numFmtId="172" fontId="7" fillId="0" borderId="0" xfId="0" applyNumberFormat="1" applyFont="1" applyAlignment="1">
      <alignment/>
    </xf>
    <xf numFmtId="3" fontId="0" fillId="0" borderId="17" xfId="0" applyNumberFormat="1" applyBorder="1" applyAlignment="1">
      <alignment horizontal="left"/>
    </xf>
    <xf numFmtId="3" fontId="0" fillId="21" borderId="17" xfId="0" applyNumberFormat="1" applyFill="1" applyBorder="1" applyAlignment="1">
      <alignment horizontal="left"/>
    </xf>
    <xf numFmtId="3" fontId="0" fillId="21" borderId="16" xfId="0" applyNumberFormat="1" applyFill="1" applyBorder="1" applyAlignment="1">
      <alignment horizontal="left"/>
    </xf>
    <xf numFmtId="3" fontId="0" fillId="0" borderId="0" xfId="0" applyNumberFormat="1" applyAlignment="1">
      <alignment/>
    </xf>
    <xf numFmtId="3" fontId="0" fillId="0" borderId="15" xfId="0" applyNumberFormat="1" applyBorder="1" applyAlignment="1">
      <alignment horizontal="left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5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0" fillId="16" borderId="16" xfId="0" applyFont="1" applyFill="1" applyBorder="1" applyAlignment="1">
      <alignment/>
    </xf>
    <xf numFmtId="0" fontId="10" fillId="16" borderId="13" xfId="0" applyFont="1" applyFill="1" applyBorder="1" applyAlignment="1">
      <alignment/>
    </xf>
    <xf numFmtId="0" fontId="10" fillId="16" borderId="14" xfId="0" applyFont="1" applyFill="1" applyBorder="1" applyAlignment="1">
      <alignment/>
    </xf>
    <xf numFmtId="0" fontId="5" fillId="0" borderId="0" xfId="0" applyFont="1" applyAlignment="1">
      <alignment/>
    </xf>
    <xf numFmtId="174" fontId="0" fillId="0" borderId="0" xfId="0" applyNumberFormat="1" applyAlignment="1">
      <alignment/>
    </xf>
    <xf numFmtId="3" fontId="10" fillId="16" borderId="19" xfId="0" applyNumberFormat="1" applyFont="1" applyFill="1" applyBorder="1" applyAlignment="1">
      <alignment horizontal="left"/>
    </xf>
    <xf numFmtId="9" fontId="10" fillId="16" borderId="19" xfId="0" applyNumberFormat="1" applyFont="1" applyFill="1" applyBorder="1" applyAlignment="1">
      <alignment horizontal="left"/>
    </xf>
    <xf numFmtId="0" fontId="10" fillId="21" borderId="20" xfId="0" applyFont="1" applyFill="1" applyBorder="1" applyAlignment="1">
      <alignment/>
    </xf>
    <xf numFmtId="0" fontId="10" fillId="21" borderId="21" xfId="0" applyFont="1" applyFill="1" applyBorder="1" applyAlignment="1">
      <alignment/>
    </xf>
    <xf numFmtId="3" fontId="10" fillId="16" borderId="22" xfId="0" applyNumberFormat="1" applyFont="1" applyFill="1" applyBorder="1" applyAlignment="1">
      <alignment horizontal="left"/>
    </xf>
    <xf numFmtId="3" fontId="10" fillId="16" borderId="23" xfId="0" applyNumberFormat="1" applyFont="1" applyFill="1" applyBorder="1" applyAlignment="1">
      <alignment horizontal="left"/>
    </xf>
    <xf numFmtId="0" fontId="10" fillId="21" borderId="24" xfId="0" applyFont="1" applyFill="1" applyBorder="1" applyAlignment="1">
      <alignment/>
    </xf>
    <xf numFmtId="0" fontId="10" fillId="21" borderId="0" xfId="0" applyFont="1" applyFill="1" applyBorder="1" applyAlignment="1">
      <alignment/>
    </xf>
    <xf numFmtId="3" fontId="10" fillId="16" borderId="25" xfId="0" applyNumberFormat="1" applyFont="1" applyFill="1" applyBorder="1" applyAlignment="1">
      <alignment horizontal="left"/>
    </xf>
    <xf numFmtId="9" fontId="10" fillId="16" borderId="25" xfId="0" applyNumberFormat="1" applyFont="1" applyFill="1" applyBorder="1" applyAlignment="1">
      <alignment horizontal="left"/>
    </xf>
    <xf numFmtId="0" fontId="10" fillId="21" borderId="26" xfId="0" applyFont="1" applyFill="1" applyBorder="1" applyAlignment="1">
      <alignment/>
    </xf>
    <xf numFmtId="0" fontId="10" fillId="21" borderId="27" xfId="0" applyFont="1" applyFill="1" applyBorder="1" applyAlignment="1">
      <alignment/>
    </xf>
    <xf numFmtId="0" fontId="10" fillId="21" borderId="28" xfId="0" applyFont="1" applyFill="1" applyBorder="1" applyAlignment="1">
      <alignment/>
    </xf>
    <xf numFmtId="3" fontId="10" fillId="16" borderId="29" xfId="0" applyNumberFormat="1" applyFont="1" applyFill="1" applyBorder="1" applyAlignment="1">
      <alignment horizontal="left"/>
    </xf>
    <xf numFmtId="0" fontId="10" fillId="21" borderId="30" xfId="0" applyFont="1" applyFill="1" applyBorder="1" applyAlignment="1">
      <alignment/>
    </xf>
    <xf numFmtId="0" fontId="10" fillId="21" borderId="31" xfId="0" applyFont="1" applyFill="1" applyBorder="1" applyAlignment="1">
      <alignment/>
    </xf>
    <xf numFmtId="0" fontId="10" fillId="21" borderId="32" xfId="0" applyFont="1" applyFill="1" applyBorder="1" applyAlignment="1">
      <alignment/>
    </xf>
    <xf numFmtId="0" fontId="0" fillId="2" borderId="16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</cellXfs>
  <cellStyles count="48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16"/>
  <sheetViews>
    <sheetView tabSelected="1" zoomScalePageLayoutView="0" workbookViewId="0" topLeftCell="A1">
      <pane xSplit="19" ySplit="25" topLeftCell="T26" activePane="bottomRight" state="frozen"/>
      <selection pane="topLeft" activeCell="A1" sqref="A1"/>
      <selection pane="topRight" activeCell="T1" sqref="T1"/>
      <selection pane="bottomLeft" activeCell="A25" sqref="A25"/>
      <selection pane="bottomRight" activeCell="G5" sqref="G5"/>
    </sheetView>
  </sheetViews>
  <sheetFormatPr defaultColWidth="9.140625" defaultRowHeight="15"/>
  <cols>
    <col min="1" max="5" width="0" style="0" hidden="1" customWidth="1"/>
  </cols>
  <sheetData>
    <row r="5" ht="51.75">
      <c r="I5" s="63" t="s">
        <v>93</v>
      </c>
    </row>
    <row r="6" ht="15">
      <c r="H6" s="64" t="s">
        <v>94</v>
      </c>
    </row>
    <row r="7" ht="15">
      <c r="G7" s="64"/>
    </row>
    <row r="9" ht="14.25">
      <c r="H9" t="s">
        <v>91</v>
      </c>
    </row>
    <row r="10" ht="14.25">
      <c r="H10" t="s">
        <v>92</v>
      </c>
    </row>
    <row r="11" ht="14.25">
      <c r="H11" t="s">
        <v>99</v>
      </c>
    </row>
    <row r="12" ht="14.25">
      <c r="A12" s="62"/>
    </row>
    <row r="14" ht="14.25">
      <c r="J14" t="s">
        <v>95</v>
      </c>
    </row>
    <row r="16" ht="14.25">
      <c r="H16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63"/>
  <sheetViews>
    <sheetView zoomScale="84" zoomScaleNormal="84" zoomScalePageLayoutView="0" workbookViewId="0" topLeftCell="A1">
      <pane ySplit="10" topLeftCell="BM36" activePane="bottomLeft" state="frozen"/>
      <selection pane="topLeft" activeCell="A1" sqref="A1"/>
      <selection pane="bottomLeft" activeCell="L45" sqref="L45"/>
    </sheetView>
  </sheetViews>
  <sheetFormatPr defaultColWidth="9.140625" defaultRowHeight="15"/>
  <cols>
    <col min="5" max="5" width="13.7109375" style="0" customWidth="1"/>
    <col min="6" max="6" width="6.140625" style="0" customWidth="1"/>
    <col min="7" max="7" width="11.8515625" style="0" bestFit="1" customWidth="1"/>
    <col min="8" max="8" width="4.421875" style="0" customWidth="1"/>
    <col min="12" max="12" width="21.57421875" style="0" customWidth="1"/>
    <col min="13" max="13" width="6.7109375" style="0" customWidth="1"/>
    <col min="14" max="14" width="11.8515625" style="0" customWidth="1"/>
    <col min="15" max="15" width="10.421875" style="0" bestFit="1" customWidth="1"/>
    <col min="16" max="16" width="10.57421875" style="0" bestFit="1" customWidth="1"/>
    <col min="17" max="18" width="10.57421875" style="0" customWidth="1"/>
    <col min="22" max="22" width="9.28125" style="0" bestFit="1" customWidth="1"/>
  </cols>
  <sheetData>
    <row r="1" spans="1:32" ht="14.25">
      <c r="A1" s="1">
        <f>ROW()</f>
        <v>1</v>
      </c>
      <c r="B1" s="2" t="s">
        <v>31</v>
      </c>
      <c r="C1" s="3"/>
      <c r="D1" s="3"/>
      <c r="E1" s="3"/>
      <c r="F1" s="3"/>
      <c r="G1" s="45"/>
      <c r="H1" s="3"/>
      <c r="I1" s="3"/>
      <c r="J1" s="4"/>
      <c r="K1" s="3"/>
      <c r="L1" s="5"/>
      <c r="M1" s="2"/>
      <c r="N1" s="2"/>
      <c r="O1" s="2"/>
      <c r="P1" s="6"/>
      <c r="Q1" s="6"/>
      <c r="R1" s="6"/>
      <c r="S1" s="3"/>
      <c r="T1" s="3"/>
      <c r="U1" s="3"/>
      <c r="V1" s="3"/>
      <c r="W1" s="6"/>
      <c r="X1" s="3"/>
      <c r="Y1" s="3"/>
      <c r="Z1" s="3"/>
      <c r="AA1" s="3"/>
      <c r="AB1" s="3"/>
      <c r="AC1" s="3"/>
      <c r="AD1" s="3"/>
      <c r="AE1" s="3"/>
      <c r="AF1" s="3"/>
    </row>
    <row r="2" ht="14.25">
      <c r="A2" s="1">
        <f>ROW()</f>
        <v>2</v>
      </c>
    </row>
    <row r="3" spans="1:14" ht="15" thickBot="1">
      <c r="A3" s="1">
        <f>ROW()</f>
        <v>3</v>
      </c>
      <c r="B3" s="72" t="s">
        <v>55</v>
      </c>
      <c r="C3" s="73"/>
      <c r="D3" s="73"/>
      <c r="E3" s="73"/>
      <c r="F3" s="73" t="s">
        <v>23</v>
      </c>
      <c r="G3" s="74">
        <f>Calcs!O58</f>
        <v>390.39000000000004</v>
      </c>
      <c r="H3" s="73"/>
      <c r="I3" s="73" t="s">
        <v>75</v>
      </c>
      <c r="J3" s="73"/>
      <c r="K3" s="73"/>
      <c r="L3" s="73"/>
      <c r="M3" s="73" t="s">
        <v>23</v>
      </c>
      <c r="N3" s="75">
        <f>Calcs!O93</f>
        <v>5996.705000000001</v>
      </c>
    </row>
    <row r="4" spans="1:14" ht="15.75" thickBot="1" thickTop="1">
      <c r="A4" s="1">
        <f>ROW()</f>
        <v>4</v>
      </c>
      <c r="B4" s="76" t="s">
        <v>56</v>
      </c>
      <c r="C4" s="77"/>
      <c r="D4" s="77"/>
      <c r="E4" s="77"/>
      <c r="F4" s="77" t="s">
        <v>23</v>
      </c>
      <c r="G4" s="70">
        <f>Calcs!O83</f>
        <v>664.092</v>
      </c>
      <c r="H4" s="77"/>
      <c r="I4" s="77" t="s">
        <v>58</v>
      </c>
      <c r="J4" s="77"/>
      <c r="K4" s="77"/>
      <c r="L4" s="77"/>
      <c r="M4" s="77" t="s">
        <v>23</v>
      </c>
      <c r="N4" s="75">
        <f>Calcs!O94</f>
        <v>6133.5560000000005</v>
      </c>
    </row>
    <row r="5" spans="1:14" ht="15.75" thickBot="1" thickTop="1">
      <c r="A5" s="1">
        <f>ROW()</f>
        <v>5</v>
      </c>
      <c r="B5" s="76" t="s">
        <v>89</v>
      </c>
      <c r="C5" s="77"/>
      <c r="D5" s="77"/>
      <c r="E5" s="77"/>
      <c r="F5" s="77" t="s">
        <v>23</v>
      </c>
      <c r="G5" s="70">
        <f>G4-G3</f>
        <v>273.70199999999994</v>
      </c>
      <c r="H5" s="77"/>
      <c r="I5" s="77" t="s">
        <v>73</v>
      </c>
      <c r="J5" s="77"/>
      <c r="K5" s="77"/>
      <c r="L5" s="77"/>
      <c r="M5" s="77" t="s">
        <v>23</v>
      </c>
      <c r="N5" s="78">
        <f>Calcs!O95</f>
        <v>136.85099999999966</v>
      </c>
    </row>
    <row r="6" spans="1:14" ht="15.75" thickBot="1" thickTop="1">
      <c r="A6" s="1">
        <f>ROW()</f>
        <v>6</v>
      </c>
      <c r="B6" s="76"/>
      <c r="C6" s="77"/>
      <c r="D6" s="77"/>
      <c r="E6" s="77"/>
      <c r="F6" s="77" t="s">
        <v>15</v>
      </c>
      <c r="G6" s="71">
        <f>Calcs!O91</f>
        <v>0.7010989010989008</v>
      </c>
      <c r="H6" s="77"/>
      <c r="I6" s="77"/>
      <c r="J6" s="77"/>
      <c r="K6" s="77"/>
      <c r="L6" s="77"/>
      <c r="M6" s="77" t="s">
        <v>15</v>
      </c>
      <c r="N6" s="79">
        <f>Calcs!O96</f>
        <v>0.02282103255037552</v>
      </c>
    </row>
    <row r="7" spans="1:14" ht="6.75" customHeight="1" thickTop="1">
      <c r="A7" s="1">
        <f>ROW()</f>
        <v>7</v>
      </c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6"/>
    </row>
    <row r="8" spans="1:14" ht="16.5" customHeight="1">
      <c r="A8" s="1">
        <f>ROW()</f>
        <v>8</v>
      </c>
      <c r="B8" s="80" t="s">
        <v>88</v>
      </c>
      <c r="C8" s="81"/>
      <c r="D8" s="81"/>
      <c r="E8" s="81"/>
      <c r="F8" s="81" t="s">
        <v>36</v>
      </c>
      <c r="G8" s="83">
        <f>Calcs!O107</f>
        <v>6819741.499999983</v>
      </c>
      <c r="H8" s="81"/>
      <c r="I8" s="81"/>
      <c r="J8" s="81"/>
      <c r="K8" s="81"/>
      <c r="L8" s="81"/>
      <c r="M8" s="81"/>
      <c r="N8" s="82"/>
    </row>
    <row r="9" ht="14.25">
      <c r="A9" s="1">
        <f>ROW()</f>
        <v>9</v>
      </c>
    </row>
    <row r="10" spans="1:32" ht="14.25">
      <c r="A10" s="1">
        <f>ROW()</f>
        <v>10</v>
      </c>
      <c r="B10" s="2" t="s">
        <v>4</v>
      </c>
      <c r="C10" s="3"/>
      <c r="D10" s="3"/>
      <c r="E10" s="3"/>
      <c r="F10" s="3"/>
      <c r="G10" s="3"/>
      <c r="H10" s="3"/>
      <c r="I10" s="3"/>
      <c r="J10" s="4" t="s">
        <v>0</v>
      </c>
      <c r="K10" s="3"/>
      <c r="L10" s="5"/>
      <c r="M10" s="2" t="s">
        <v>1</v>
      </c>
      <c r="N10" s="2" t="s">
        <v>2</v>
      </c>
      <c r="O10" s="2" t="s">
        <v>9</v>
      </c>
      <c r="P10" s="6"/>
      <c r="Q10" s="6"/>
      <c r="R10" s="6"/>
      <c r="S10" s="3"/>
      <c r="T10" s="3"/>
      <c r="U10" s="3"/>
      <c r="V10" s="3"/>
      <c r="W10" s="6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4.25">
      <c r="A11" s="1">
        <f>ROW()</f>
        <v>11</v>
      </c>
      <c r="B11" s="7" t="s">
        <v>5</v>
      </c>
      <c r="C11" s="8"/>
      <c r="D11" s="8"/>
      <c r="E11" s="8"/>
      <c r="F11" s="8"/>
      <c r="G11" s="8" t="s">
        <v>41</v>
      </c>
      <c r="H11" s="8"/>
      <c r="I11" s="8"/>
      <c r="J11" s="9"/>
      <c r="K11" s="8"/>
      <c r="L11" s="10"/>
      <c r="M11" s="11"/>
      <c r="N11" s="11"/>
      <c r="O11" s="11"/>
      <c r="P11" s="12"/>
      <c r="Q11" s="12"/>
      <c r="R11" s="12"/>
      <c r="S11" s="8"/>
      <c r="T11" s="8"/>
      <c r="U11" s="8"/>
      <c r="V11" s="8"/>
      <c r="W11" s="12"/>
      <c r="X11" s="8"/>
      <c r="Y11" s="8"/>
      <c r="Z11" s="8"/>
      <c r="AA11" s="8"/>
      <c r="AB11" s="8"/>
      <c r="AC11" s="8"/>
      <c r="AD11" s="8"/>
      <c r="AE11" s="8"/>
      <c r="AF11" s="8"/>
    </row>
    <row r="12" spans="1:2" ht="15">
      <c r="A12" s="1">
        <f>ROW()</f>
        <v>12</v>
      </c>
      <c r="B12" s="15" t="s">
        <v>28</v>
      </c>
    </row>
    <row r="13" spans="1:21" ht="14.25">
      <c r="A13" s="1">
        <f>ROW()</f>
        <v>13</v>
      </c>
      <c r="P13" s="25" t="s">
        <v>7</v>
      </c>
      <c r="Q13" s="16"/>
      <c r="R13" s="16"/>
      <c r="S13" s="16"/>
      <c r="T13" s="16"/>
      <c r="U13" s="17"/>
    </row>
    <row r="14" spans="1:21" ht="14.25">
      <c r="A14" s="1">
        <f>ROW()</f>
        <v>14</v>
      </c>
      <c r="O14" s="18" t="s">
        <v>8</v>
      </c>
      <c r="P14" s="21" t="s">
        <v>16</v>
      </c>
      <c r="Q14" s="22"/>
      <c r="R14" s="22" t="s">
        <v>17</v>
      </c>
      <c r="S14" s="22" t="s">
        <v>18</v>
      </c>
      <c r="T14" s="22"/>
      <c r="U14" s="23" t="s">
        <v>19</v>
      </c>
    </row>
    <row r="15" spans="1:21" ht="14.25">
      <c r="A15" s="1">
        <f>ROW()</f>
        <v>15</v>
      </c>
      <c r="J15" s="13" t="s">
        <v>10</v>
      </c>
      <c r="M15" t="s">
        <v>3</v>
      </c>
      <c r="N15" t="s">
        <v>11</v>
      </c>
      <c r="O15" s="26" t="s">
        <v>16</v>
      </c>
      <c r="P15" s="35" t="s">
        <v>6</v>
      </c>
      <c r="Q15" s="35"/>
      <c r="R15" s="41"/>
      <c r="S15" s="41"/>
      <c r="T15" s="41"/>
      <c r="U15" s="41"/>
    </row>
    <row r="16" spans="1:21" ht="14.25">
      <c r="A16" s="1">
        <f>ROW()</f>
        <v>16</v>
      </c>
      <c r="J16" s="13" t="s">
        <v>10</v>
      </c>
      <c r="M16" t="s">
        <v>3</v>
      </c>
      <c r="N16" t="s">
        <v>11</v>
      </c>
      <c r="O16" s="19" t="s">
        <v>17</v>
      </c>
      <c r="P16" s="35" t="s">
        <v>6</v>
      </c>
      <c r="Q16" s="35"/>
      <c r="R16" s="35" t="s">
        <v>6</v>
      </c>
      <c r="S16" s="41"/>
      <c r="T16" s="41"/>
      <c r="U16" s="41"/>
    </row>
    <row r="17" spans="1:21" ht="14.25">
      <c r="A17" s="1">
        <f>ROW()</f>
        <v>17</v>
      </c>
      <c r="J17" s="13" t="s">
        <v>10</v>
      </c>
      <c r="M17" t="s">
        <v>3</v>
      </c>
      <c r="N17" t="s">
        <v>11</v>
      </c>
      <c r="O17" s="19" t="s">
        <v>18</v>
      </c>
      <c r="P17" s="35" t="s">
        <v>6</v>
      </c>
      <c r="Q17" s="35"/>
      <c r="R17" s="41"/>
      <c r="S17" s="35" t="s">
        <v>6</v>
      </c>
      <c r="T17" s="35"/>
      <c r="U17" s="41"/>
    </row>
    <row r="18" spans="1:21" ht="14.25">
      <c r="A18" s="1">
        <f>ROW()</f>
        <v>18</v>
      </c>
      <c r="J18" s="13" t="s">
        <v>10</v>
      </c>
      <c r="M18" t="s">
        <v>3</v>
      </c>
      <c r="N18" t="s">
        <v>11</v>
      </c>
      <c r="O18" s="20" t="s">
        <v>19</v>
      </c>
      <c r="P18" s="35" t="s">
        <v>6</v>
      </c>
      <c r="Q18" s="35"/>
      <c r="R18" s="35" t="s">
        <v>6</v>
      </c>
      <c r="S18" s="35" t="s">
        <v>6</v>
      </c>
      <c r="T18" s="35"/>
      <c r="U18" s="35" t="s">
        <v>6</v>
      </c>
    </row>
    <row r="19" ht="14.25">
      <c r="A19" s="1">
        <f>ROW()</f>
        <v>19</v>
      </c>
    </row>
    <row r="20" spans="1:19" ht="15">
      <c r="A20" s="1">
        <f>ROW()</f>
        <v>20</v>
      </c>
      <c r="B20" s="15" t="s">
        <v>29</v>
      </c>
      <c r="R20" t="s">
        <v>3</v>
      </c>
      <c r="S20" t="s">
        <v>3</v>
      </c>
    </row>
    <row r="21" spans="1:22" ht="14.25">
      <c r="A21" s="1">
        <f>ROW()</f>
        <v>21</v>
      </c>
      <c r="D21" s="13"/>
      <c r="O21" s="24"/>
      <c r="P21" s="18" t="s">
        <v>49</v>
      </c>
      <c r="Q21" s="18"/>
      <c r="R21" s="18" t="s">
        <v>8</v>
      </c>
      <c r="S21" s="18" t="s">
        <v>7</v>
      </c>
      <c r="T21" s="18"/>
      <c r="U21" s="18" t="s">
        <v>98</v>
      </c>
      <c r="V21" s="18" t="s">
        <v>97</v>
      </c>
    </row>
    <row r="22" spans="1:22" ht="14.25">
      <c r="A22" s="1">
        <f>ROW()</f>
        <v>22</v>
      </c>
      <c r="D22" s="14"/>
      <c r="H22" s="13" t="s">
        <v>96</v>
      </c>
      <c r="M22" t="s">
        <v>3</v>
      </c>
      <c r="N22" t="s">
        <v>12</v>
      </c>
      <c r="O22" s="28" t="s">
        <v>16</v>
      </c>
      <c r="P22" s="31">
        <v>0.44</v>
      </c>
      <c r="Q22" s="31"/>
      <c r="R22" s="31">
        <v>0.44</v>
      </c>
      <c r="S22" s="31">
        <v>0.66</v>
      </c>
      <c r="T22" s="31"/>
      <c r="U22" s="31">
        <v>0.44</v>
      </c>
      <c r="V22" s="31">
        <v>0.66</v>
      </c>
    </row>
    <row r="23" spans="1:22" ht="14.25">
      <c r="A23" s="1">
        <f>ROW()</f>
        <v>23</v>
      </c>
      <c r="D23" s="14"/>
      <c r="H23" s="13" t="s">
        <v>96</v>
      </c>
      <c r="M23" t="s">
        <v>3</v>
      </c>
      <c r="N23" t="s">
        <v>12</v>
      </c>
      <c r="O23" s="29" t="s">
        <v>17</v>
      </c>
      <c r="P23" s="31">
        <v>0.42</v>
      </c>
      <c r="Q23" s="31"/>
      <c r="R23" s="31">
        <v>0.39</v>
      </c>
      <c r="S23" s="31">
        <v>0.26</v>
      </c>
      <c r="T23" s="31"/>
      <c r="U23" s="31">
        <v>0.39</v>
      </c>
      <c r="V23" s="31">
        <v>0.26</v>
      </c>
    </row>
    <row r="24" spans="1:22" ht="14.25">
      <c r="A24" s="1">
        <f>ROW()</f>
        <v>24</v>
      </c>
      <c r="D24" s="14"/>
      <c r="H24" s="13" t="s">
        <v>96</v>
      </c>
      <c r="M24" t="s">
        <v>3</v>
      </c>
      <c r="N24" t="s">
        <v>12</v>
      </c>
      <c r="O24" s="29" t="s">
        <v>18</v>
      </c>
      <c r="P24" s="31">
        <v>0.1</v>
      </c>
      <c r="Q24" s="31"/>
      <c r="R24" s="31">
        <v>0.13</v>
      </c>
      <c r="S24" s="31">
        <v>0.07</v>
      </c>
      <c r="T24" s="31"/>
      <c r="U24" s="31">
        <v>0.13</v>
      </c>
      <c r="V24" s="31">
        <v>0.07</v>
      </c>
    </row>
    <row r="25" spans="1:22" ht="14.25">
      <c r="A25" s="1">
        <f>ROW()</f>
        <v>25</v>
      </c>
      <c r="H25" s="13" t="s">
        <v>96</v>
      </c>
      <c r="M25" t="s">
        <v>3</v>
      </c>
      <c r="N25" t="s">
        <v>12</v>
      </c>
      <c r="O25" s="20" t="s">
        <v>19</v>
      </c>
      <c r="P25" s="31">
        <v>0.04</v>
      </c>
      <c r="Q25" s="31"/>
      <c r="R25" s="31">
        <v>0.04</v>
      </c>
      <c r="S25" s="31">
        <v>0.01</v>
      </c>
      <c r="T25" s="31"/>
      <c r="U25" s="31">
        <v>0.04</v>
      </c>
      <c r="V25" s="31">
        <v>0.01</v>
      </c>
    </row>
    <row r="26" spans="1:20" ht="14.25">
      <c r="A26" s="1">
        <f>ROW()</f>
        <v>26</v>
      </c>
      <c r="D26" s="13"/>
      <c r="O26" s="53" t="s">
        <v>48</v>
      </c>
      <c r="R26" s="52">
        <f>SUM(R21:R25)</f>
        <v>1</v>
      </c>
      <c r="S26" s="52">
        <f>SUM(S21:S25)</f>
        <v>1</v>
      </c>
      <c r="T26" s="52"/>
    </row>
    <row r="27" spans="1:4" ht="14.25">
      <c r="A27" s="1">
        <f>ROW()</f>
        <v>27</v>
      </c>
      <c r="D27" s="13"/>
    </row>
    <row r="28" spans="1:15" ht="14.25">
      <c r="A28" s="1">
        <f>ROW()</f>
        <v>28</v>
      </c>
      <c r="D28" s="13"/>
      <c r="O28" s="24"/>
    </row>
    <row r="29" spans="1:32" ht="14.25">
      <c r="A29" s="1">
        <f>ROW()</f>
        <v>29</v>
      </c>
      <c r="B29" s="7" t="s">
        <v>39</v>
      </c>
      <c r="C29" s="8"/>
      <c r="D29" s="8"/>
      <c r="E29" s="8"/>
      <c r="F29" s="8"/>
      <c r="G29" s="8"/>
      <c r="H29" s="8"/>
      <c r="I29" s="8"/>
      <c r="J29" s="9"/>
      <c r="K29" s="8"/>
      <c r="L29" s="10"/>
      <c r="M29" s="11"/>
      <c r="N29" s="11"/>
      <c r="O29" s="11"/>
      <c r="P29" s="12"/>
      <c r="Q29" s="12"/>
      <c r="R29" s="12"/>
      <c r="S29" s="8"/>
      <c r="T29" s="8"/>
      <c r="U29" s="8"/>
      <c r="V29" s="8"/>
      <c r="W29" s="12"/>
      <c r="X29" s="8"/>
      <c r="Y29" s="8"/>
      <c r="Z29" s="8"/>
      <c r="AA29" s="8"/>
      <c r="AB29" s="8"/>
      <c r="AC29" s="8"/>
      <c r="AD29" s="8"/>
      <c r="AE29" s="8"/>
      <c r="AF29" s="8"/>
    </row>
    <row r="30" spans="1:15" ht="15">
      <c r="A30" s="1">
        <f>ROW()</f>
        <v>30</v>
      </c>
      <c r="B30" s="15" t="s">
        <v>34</v>
      </c>
      <c r="D30" s="13"/>
      <c r="J30" s="13" t="s">
        <v>22</v>
      </c>
      <c r="M30" t="s">
        <v>3</v>
      </c>
      <c r="N30" t="s">
        <v>35</v>
      </c>
      <c r="O30" s="36">
        <v>7150</v>
      </c>
    </row>
    <row r="31" spans="1:15" ht="15">
      <c r="A31" s="1">
        <f>ROW()</f>
        <v>31</v>
      </c>
      <c r="B31" s="15" t="s">
        <v>33</v>
      </c>
      <c r="D31" s="13"/>
      <c r="J31" s="13" t="s">
        <v>22</v>
      </c>
      <c r="M31" t="s">
        <v>3</v>
      </c>
      <c r="N31" t="s">
        <v>35</v>
      </c>
      <c r="O31" s="36">
        <v>7150</v>
      </c>
    </row>
    <row r="32" spans="1:15" ht="15">
      <c r="A32" s="1">
        <f>ROW()</f>
        <v>32</v>
      </c>
      <c r="B32" s="15"/>
      <c r="D32" s="13"/>
      <c r="J32" s="13"/>
      <c r="O32" s="37"/>
    </row>
    <row r="33" spans="1:15" ht="15">
      <c r="A33" s="1">
        <f>ROW()</f>
        <v>33</v>
      </c>
      <c r="B33" s="15" t="s">
        <v>27</v>
      </c>
      <c r="D33" s="13"/>
      <c r="J33" s="13" t="s">
        <v>22</v>
      </c>
      <c r="M33" t="s">
        <v>3</v>
      </c>
      <c r="N33" t="s">
        <v>25</v>
      </c>
      <c r="O33" s="31">
        <v>0.05</v>
      </c>
    </row>
    <row r="34" spans="1:15" ht="14.25">
      <c r="A34" s="1">
        <f>ROW()</f>
        <v>34</v>
      </c>
      <c r="D34" s="13"/>
      <c r="O34" s="24"/>
    </row>
    <row r="35" spans="1:32" ht="14.25">
      <c r="A35" s="1">
        <f>ROW()</f>
        <v>35</v>
      </c>
      <c r="B35" s="7" t="s">
        <v>40</v>
      </c>
      <c r="C35" s="8"/>
      <c r="D35" s="8"/>
      <c r="E35" s="8"/>
      <c r="F35" s="8"/>
      <c r="G35" s="8"/>
      <c r="H35" s="8"/>
      <c r="I35" s="8"/>
      <c r="J35" s="9"/>
      <c r="K35" s="8"/>
      <c r="L35" s="10"/>
      <c r="M35" s="11"/>
      <c r="N35" s="11"/>
      <c r="O35" s="11"/>
      <c r="P35" s="12"/>
      <c r="Q35" s="12"/>
      <c r="R35" s="12"/>
      <c r="S35" s="8"/>
      <c r="T35" s="8"/>
      <c r="U35" s="8"/>
      <c r="V35" s="8"/>
      <c r="W35" s="12"/>
      <c r="X35" s="8"/>
      <c r="Y35" s="8"/>
      <c r="Z35" s="8"/>
      <c r="AA35" s="8"/>
      <c r="AB35" s="8"/>
      <c r="AC35" s="8"/>
      <c r="AD35" s="8"/>
      <c r="AE35" s="8"/>
      <c r="AF35" s="8"/>
    </row>
    <row r="36" spans="1:2" ht="15">
      <c r="A36" s="1">
        <f>ROW()</f>
        <v>36</v>
      </c>
      <c r="B36" s="15" t="s">
        <v>52</v>
      </c>
    </row>
    <row r="37" spans="1:15" ht="14.25">
      <c r="A37" s="1">
        <f>ROW()</f>
        <v>37</v>
      </c>
      <c r="C37" t="s">
        <v>90</v>
      </c>
      <c r="J37" s="13" t="s">
        <v>51</v>
      </c>
      <c r="M37" t="s">
        <v>3</v>
      </c>
      <c r="N37" t="s">
        <v>36</v>
      </c>
      <c r="O37" s="36">
        <v>66000</v>
      </c>
    </row>
    <row r="38" spans="1:10" ht="14.25">
      <c r="A38" s="1">
        <f>ROW()</f>
        <v>38</v>
      </c>
      <c r="J38" s="13"/>
    </row>
    <row r="39" spans="1:15" ht="14.25">
      <c r="A39" s="1">
        <f>ROW()</f>
        <v>39</v>
      </c>
      <c r="C39" t="s">
        <v>83</v>
      </c>
      <c r="J39" s="13" t="s">
        <v>79</v>
      </c>
      <c r="M39" t="s">
        <v>3</v>
      </c>
      <c r="N39" t="s">
        <v>36</v>
      </c>
      <c r="O39" s="36">
        <v>75000</v>
      </c>
    </row>
    <row r="40" spans="1:15" ht="14.25">
      <c r="A40" s="1">
        <f>ROW()</f>
        <v>40</v>
      </c>
      <c r="C40" t="s">
        <v>82</v>
      </c>
      <c r="J40" s="13" t="s">
        <v>79</v>
      </c>
      <c r="M40" t="s">
        <v>3</v>
      </c>
      <c r="N40" t="s">
        <v>78</v>
      </c>
      <c r="O40" s="36">
        <v>18</v>
      </c>
    </row>
    <row r="41" spans="1:15" ht="15">
      <c r="A41" s="1">
        <f>ROW()</f>
        <v>41</v>
      </c>
      <c r="C41" t="s">
        <v>77</v>
      </c>
      <c r="J41" s="13" t="s">
        <v>53</v>
      </c>
      <c r="M41" t="s">
        <v>3</v>
      </c>
      <c r="N41" t="s">
        <v>36</v>
      </c>
      <c r="O41" s="36">
        <v>12000</v>
      </c>
    </row>
    <row r="42" ht="14.25">
      <c r="A42" s="1"/>
    </row>
    <row r="43" ht="14.25">
      <c r="A43" s="1"/>
    </row>
    <row r="44" ht="14.25">
      <c r="A44" s="1"/>
    </row>
    <row r="143" spans="15:23" ht="14.25">
      <c r="O143" s="27"/>
      <c r="S143" s="27"/>
      <c r="T143" s="27"/>
      <c r="W143" s="27"/>
    </row>
    <row r="144" spans="15:23" ht="14.25">
      <c r="O144" s="27"/>
      <c r="S144" s="27"/>
      <c r="T144" s="27"/>
      <c r="W144" s="27"/>
    </row>
    <row r="145" spans="15:23" ht="14.25">
      <c r="O145" s="27"/>
      <c r="S145" s="27"/>
      <c r="T145" s="27"/>
      <c r="W145" s="27"/>
    </row>
    <row r="146" spans="15:23" ht="14.25">
      <c r="O146" s="27"/>
      <c r="S146" s="27"/>
      <c r="T146" s="27"/>
      <c r="W146" s="27"/>
    </row>
    <row r="147" spans="15:23" ht="14.25">
      <c r="O147" s="27"/>
      <c r="S147" s="27"/>
      <c r="T147" s="27"/>
      <c r="W147" s="27"/>
    </row>
    <row r="148" spans="15:23" ht="14.25">
      <c r="O148" s="27"/>
      <c r="S148" s="27"/>
      <c r="T148" s="27"/>
      <c r="W148" s="27"/>
    </row>
    <row r="149" spans="15:23" ht="14.25">
      <c r="O149" s="27"/>
      <c r="S149" s="27"/>
      <c r="T149" s="27"/>
      <c r="W149" s="27"/>
    </row>
    <row r="150" spans="15:23" ht="14.25">
      <c r="O150" s="27"/>
      <c r="S150" s="27"/>
      <c r="T150" s="27"/>
      <c r="W150" s="27"/>
    </row>
    <row r="151" spans="15:23" ht="14.25">
      <c r="O151" s="27"/>
      <c r="S151" s="27"/>
      <c r="T151" s="27"/>
      <c r="W151" s="27"/>
    </row>
    <row r="152" spans="15:23" ht="14.25">
      <c r="O152" s="27"/>
      <c r="S152" s="27"/>
      <c r="T152" s="27"/>
      <c r="W152" s="27"/>
    </row>
    <row r="153" spans="15:23" ht="14.25">
      <c r="O153" s="27"/>
      <c r="S153" s="27"/>
      <c r="T153" s="27"/>
      <c r="W153" s="27"/>
    </row>
    <row r="154" spans="15:23" ht="14.25">
      <c r="O154" s="27"/>
      <c r="S154" s="27"/>
      <c r="T154" s="27"/>
      <c r="W154" s="27"/>
    </row>
    <row r="155" spans="15:23" ht="14.25">
      <c r="O155" s="27"/>
      <c r="S155" s="27"/>
      <c r="T155" s="27"/>
      <c r="W155" s="27"/>
    </row>
    <row r="156" spans="15:23" ht="14.25">
      <c r="O156" s="27"/>
      <c r="S156" s="27"/>
      <c r="T156" s="27"/>
      <c r="W156" s="27"/>
    </row>
    <row r="157" spans="15:23" ht="14.25">
      <c r="O157" s="27"/>
      <c r="S157" s="27"/>
      <c r="T157" s="27"/>
      <c r="W157" s="27"/>
    </row>
    <row r="158" spans="15:23" ht="14.25">
      <c r="O158" s="27"/>
      <c r="S158" s="27"/>
      <c r="T158" s="27"/>
      <c r="W158" s="27"/>
    </row>
    <row r="159" spans="15:23" ht="14.25">
      <c r="O159" s="27"/>
      <c r="S159" s="27"/>
      <c r="T159" s="27"/>
      <c r="W159" s="27"/>
    </row>
    <row r="160" spans="15:23" ht="14.25">
      <c r="O160" s="27"/>
      <c r="S160" s="27"/>
      <c r="T160" s="27"/>
      <c r="W160" s="27"/>
    </row>
    <row r="161" spans="15:23" ht="14.25">
      <c r="O161" s="27"/>
      <c r="S161" s="27"/>
      <c r="T161" s="27"/>
      <c r="W161" s="27"/>
    </row>
    <row r="162" spans="15:23" ht="14.25">
      <c r="O162" s="27"/>
      <c r="S162" s="27"/>
      <c r="T162" s="27"/>
      <c r="W162" s="27"/>
    </row>
    <row r="163" spans="15:23" ht="14.25">
      <c r="O163" s="27"/>
      <c r="S163" s="27"/>
      <c r="T163" s="27"/>
      <c r="W163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0"/>
  <sheetViews>
    <sheetView zoomScale="85" zoomScaleNormal="85" zoomScalePageLayoutView="0" workbookViewId="0" topLeftCell="B1">
      <pane xSplit="9" ySplit="1" topLeftCell="O2" activePane="bottomRight" state="frozen"/>
      <selection pane="topLeft" activeCell="B1" sqref="B1"/>
      <selection pane="topRight" activeCell="K1" sqref="K1"/>
      <selection pane="bottomLeft" activeCell="B2" sqref="B2"/>
      <selection pane="bottomRight" activeCell="C60" sqref="C60"/>
    </sheetView>
  </sheetViews>
  <sheetFormatPr defaultColWidth="9.140625" defaultRowHeight="15" outlineLevelRow="1"/>
  <cols>
    <col min="1" max="1" width="0" style="0" hidden="1" customWidth="1"/>
    <col min="6" max="6" width="4.7109375" style="0" hidden="1" customWidth="1"/>
    <col min="7" max="7" width="0" style="0" hidden="1" customWidth="1"/>
    <col min="8" max="8" width="4.7109375" style="0" hidden="1" customWidth="1"/>
    <col min="9" max="9" width="4.28125" style="0" hidden="1" customWidth="1"/>
    <col min="10" max="10" width="3.421875" style="0" hidden="1" customWidth="1"/>
    <col min="11" max="11" width="5.140625" style="0" customWidth="1"/>
    <col min="12" max="12" width="4.00390625" style="0" customWidth="1"/>
    <col min="14" max="14" width="13.421875" style="0" customWidth="1"/>
    <col min="15" max="15" width="17.28125" style="0" customWidth="1"/>
    <col min="16" max="16" width="10.28125" style="0" bestFit="1" customWidth="1"/>
    <col min="17" max="17" width="9.7109375" style="0" customWidth="1"/>
    <col min="19" max="19" width="10.421875" style="0" bestFit="1" customWidth="1"/>
    <col min="21" max="21" width="27.421875" style="0" customWidth="1"/>
  </cols>
  <sheetData>
    <row r="1" spans="1:23" ht="14.25">
      <c r="A1" s="1">
        <f>ROW()</f>
        <v>1</v>
      </c>
      <c r="B1" s="2" t="s">
        <v>13</v>
      </c>
      <c r="C1" s="3"/>
      <c r="D1" s="3"/>
      <c r="E1" s="3"/>
      <c r="F1" s="3"/>
      <c r="G1" s="3"/>
      <c r="H1" s="3"/>
      <c r="I1" s="3"/>
      <c r="J1" s="3"/>
      <c r="K1" s="3"/>
      <c r="L1" s="3"/>
      <c r="M1" s="2" t="s">
        <v>1</v>
      </c>
      <c r="N1" s="2" t="s">
        <v>2</v>
      </c>
      <c r="O1" s="3"/>
      <c r="P1" s="3"/>
      <c r="Q1" s="3"/>
      <c r="R1" s="3"/>
      <c r="S1" s="3"/>
      <c r="T1" s="3"/>
      <c r="U1" s="3"/>
      <c r="V1" s="3"/>
      <c r="W1" s="3"/>
    </row>
    <row r="2" spans="1:2" ht="15">
      <c r="A2" s="1">
        <f>ROW()</f>
        <v>2</v>
      </c>
      <c r="B2" s="15" t="s">
        <v>66</v>
      </c>
    </row>
    <row r="3" spans="1:19" ht="14.25" outlineLevel="1">
      <c r="A3" s="1">
        <f>ROW()</f>
        <v>3</v>
      </c>
      <c r="C3" t="s">
        <v>28</v>
      </c>
      <c r="P3" s="25" t="s">
        <v>7</v>
      </c>
      <c r="Q3" s="16"/>
      <c r="R3" s="16"/>
      <c r="S3" s="17"/>
    </row>
    <row r="4" spans="1:19" ht="14.25" outlineLevel="1">
      <c r="A4" s="1">
        <f>ROW()</f>
        <v>4</v>
      </c>
      <c r="O4" s="18" t="s">
        <v>8</v>
      </c>
      <c r="P4" s="21" t="s">
        <v>16</v>
      </c>
      <c r="Q4" s="22" t="s">
        <v>17</v>
      </c>
      <c r="R4" s="22" t="s">
        <v>18</v>
      </c>
      <c r="S4" s="23" t="s">
        <v>19</v>
      </c>
    </row>
    <row r="5" spans="1:19" ht="14.25" outlineLevel="1">
      <c r="A5" s="1">
        <f>ROW()</f>
        <v>5</v>
      </c>
      <c r="M5" t="s">
        <v>20</v>
      </c>
      <c r="N5" t="s">
        <v>26</v>
      </c>
      <c r="O5" s="65" t="s">
        <v>16</v>
      </c>
      <c r="P5" s="40" t="str">
        <f>IF(Assumptions!P15="Y","Y"," ")</f>
        <v>Y</v>
      </c>
      <c r="Q5" s="42" t="str">
        <f>IF(Assumptions!R15="Y","Y"," ")</f>
        <v> </v>
      </c>
      <c r="R5" s="42" t="str">
        <f>IF(Assumptions!S15="Y","Y"," ")</f>
        <v> </v>
      </c>
      <c r="S5" s="42" t="str">
        <f>IF(Assumptions!U15="Y","Y"," ")</f>
        <v> </v>
      </c>
    </row>
    <row r="6" spans="1:19" ht="14.25" outlineLevel="1">
      <c r="A6" s="1">
        <f>ROW()</f>
        <v>6</v>
      </c>
      <c r="M6" t="s">
        <v>20</v>
      </c>
      <c r="N6" t="s">
        <v>26</v>
      </c>
      <c r="O6" s="66" t="s">
        <v>17</v>
      </c>
      <c r="P6" s="40" t="str">
        <f>IF(Assumptions!P16="Y","Y"," ")</f>
        <v>Y</v>
      </c>
      <c r="Q6" s="40" t="str">
        <f>IF(Assumptions!R16="Y","Y"," ")</f>
        <v>Y</v>
      </c>
      <c r="R6" s="42" t="str">
        <f>IF(Assumptions!S16="Y","Y"," ")</f>
        <v> </v>
      </c>
      <c r="S6" s="42" t="str">
        <f>IF(Assumptions!U16="Y","Y"," ")</f>
        <v> </v>
      </c>
    </row>
    <row r="7" spans="1:19" ht="14.25" outlineLevel="1">
      <c r="A7" s="1">
        <f>ROW()</f>
        <v>7</v>
      </c>
      <c r="M7" t="s">
        <v>20</v>
      </c>
      <c r="N7" t="s">
        <v>26</v>
      </c>
      <c r="O7" s="66" t="s">
        <v>18</v>
      </c>
      <c r="P7" s="40" t="str">
        <f>IF(Assumptions!P17="Y","Y"," ")</f>
        <v>Y</v>
      </c>
      <c r="Q7" s="42" t="str">
        <f>IF(Assumptions!R17="Y","Y"," ")</f>
        <v> </v>
      </c>
      <c r="R7" s="40" t="str">
        <f>IF(Assumptions!S17="Y","Y"," ")</f>
        <v>Y</v>
      </c>
      <c r="S7" s="42" t="str">
        <f>IF(Assumptions!U17="Y","Y"," ")</f>
        <v> </v>
      </c>
    </row>
    <row r="8" spans="1:19" ht="14.25" outlineLevel="1">
      <c r="A8" s="1">
        <f>ROW()</f>
        <v>8</v>
      </c>
      <c r="M8" t="s">
        <v>20</v>
      </c>
      <c r="N8" t="s">
        <v>26</v>
      </c>
      <c r="O8" s="67" t="s">
        <v>19</v>
      </c>
      <c r="P8" s="40" t="str">
        <f>IF(Assumptions!P18="Y","Y"," ")</f>
        <v>Y</v>
      </c>
      <c r="Q8" s="40" t="str">
        <f>IF(Assumptions!R18="Y","Y"," ")</f>
        <v>Y</v>
      </c>
      <c r="R8" s="40" t="str">
        <f>IF(Assumptions!S18="Y","Y"," ")</f>
        <v>Y</v>
      </c>
      <c r="S8" s="40" t="str">
        <f>IF(Assumptions!U18="Y","Y"," ")</f>
        <v>Y</v>
      </c>
    </row>
    <row r="9" ht="14.25" outlineLevel="1">
      <c r="A9" s="1">
        <f>ROW()</f>
        <v>9</v>
      </c>
    </row>
    <row r="10" spans="1:17" ht="14.25" outlineLevel="1">
      <c r="A10" s="1">
        <f>ROW()</f>
        <v>10</v>
      </c>
      <c r="C10" t="s">
        <v>50</v>
      </c>
      <c r="P10" s="18" t="s">
        <v>8</v>
      </c>
      <c r="Q10" s="18" t="s">
        <v>7</v>
      </c>
    </row>
    <row r="11" spans="1:17" ht="14.25" outlineLevel="1">
      <c r="A11" s="1">
        <f>ROW()</f>
        <v>11</v>
      </c>
      <c r="M11" t="s">
        <v>20</v>
      </c>
      <c r="N11" t="s">
        <v>15</v>
      </c>
      <c r="O11" s="65" t="s">
        <v>16</v>
      </c>
      <c r="P11" s="38">
        <f>Assumptions!R22</f>
        <v>0.44</v>
      </c>
      <c r="Q11" s="38">
        <f>Assumptions!S22</f>
        <v>0.66</v>
      </c>
    </row>
    <row r="12" spans="1:17" ht="14.25" outlineLevel="1">
      <c r="A12" s="1">
        <f>ROW()</f>
        <v>12</v>
      </c>
      <c r="D12" s="13"/>
      <c r="M12" t="s">
        <v>20</v>
      </c>
      <c r="N12" t="s">
        <v>15</v>
      </c>
      <c r="O12" s="66" t="s">
        <v>17</v>
      </c>
      <c r="P12" s="38">
        <f>Assumptions!R23</f>
        <v>0.39</v>
      </c>
      <c r="Q12" s="38">
        <f>Assumptions!S23</f>
        <v>0.26</v>
      </c>
    </row>
    <row r="13" spans="1:17" ht="14.25" outlineLevel="1">
      <c r="A13" s="1">
        <f>ROW()</f>
        <v>13</v>
      </c>
      <c r="D13" s="14"/>
      <c r="M13" t="s">
        <v>20</v>
      </c>
      <c r="N13" t="s">
        <v>15</v>
      </c>
      <c r="O13" s="66" t="s">
        <v>18</v>
      </c>
      <c r="P13" s="38">
        <f>Assumptions!R24</f>
        <v>0.13</v>
      </c>
      <c r="Q13" s="38">
        <f>Assumptions!S24</f>
        <v>0.07</v>
      </c>
    </row>
    <row r="14" spans="1:17" ht="14.25" outlineLevel="1">
      <c r="A14" s="1">
        <f>ROW()</f>
        <v>14</v>
      </c>
      <c r="D14" s="14"/>
      <c r="M14" t="s">
        <v>20</v>
      </c>
      <c r="N14" t="s">
        <v>15</v>
      </c>
      <c r="O14" s="67" t="s">
        <v>19</v>
      </c>
      <c r="P14" s="38">
        <f>Assumptions!R25</f>
        <v>0.04</v>
      </c>
      <c r="Q14" s="38">
        <f>Assumptions!S25</f>
        <v>0.01</v>
      </c>
    </row>
    <row r="15" spans="1:18" ht="14.25" outlineLevel="1">
      <c r="A15" s="1">
        <f>ROW()</f>
        <v>15</v>
      </c>
      <c r="R15" s="30"/>
    </row>
    <row r="16" spans="1:19" ht="15" outlineLevel="1">
      <c r="A16" s="1">
        <f>ROW()</f>
        <v>16</v>
      </c>
      <c r="B16" s="15"/>
      <c r="C16" t="s">
        <v>21</v>
      </c>
      <c r="P16" s="25" t="s">
        <v>7</v>
      </c>
      <c r="Q16" s="16"/>
      <c r="R16" s="16"/>
      <c r="S16" s="17"/>
    </row>
    <row r="17" spans="1:19" ht="14.25" outlineLevel="1">
      <c r="A17" s="1">
        <f>ROW()</f>
        <v>17</v>
      </c>
      <c r="O17" s="18" t="s">
        <v>8</v>
      </c>
      <c r="P17" s="65" t="s">
        <v>16</v>
      </c>
      <c r="Q17" s="65" t="s">
        <v>17</v>
      </c>
      <c r="R17" s="65" t="s">
        <v>18</v>
      </c>
      <c r="S17" s="65" t="s">
        <v>19</v>
      </c>
    </row>
    <row r="18" spans="1:19" ht="14.25" outlineLevel="1">
      <c r="A18" s="1">
        <f>ROW()</f>
        <v>18</v>
      </c>
      <c r="M18" t="s">
        <v>14</v>
      </c>
      <c r="N18" t="s">
        <v>15</v>
      </c>
      <c r="O18" s="65" t="s">
        <v>16</v>
      </c>
      <c r="P18" s="32">
        <f>VLOOKUP($O18,$O$11:$Q$14,2,FALSE)*VLOOKUP(P$17,$O$11:$Q$14,3,FALSE)</f>
        <v>0.2904</v>
      </c>
      <c r="Q18" s="43">
        <f aca="true" t="shared" si="0" ref="Q18:S21">VLOOKUP($O18,$O$11:$Q$14,2,FALSE)*VLOOKUP(Q$17,$O$11:$Q$14,3,FALSE)</f>
        <v>0.1144</v>
      </c>
      <c r="R18" s="43">
        <f t="shared" si="0"/>
        <v>0.030800000000000004</v>
      </c>
      <c r="S18" s="44">
        <f t="shared" si="0"/>
        <v>0.0044</v>
      </c>
    </row>
    <row r="19" spans="1:19" ht="14.25" outlineLevel="1">
      <c r="A19" s="1">
        <f>ROW()</f>
        <v>19</v>
      </c>
      <c r="M19" t="s">
        <v>14</v>
      </c>
      <c r="N19" t="s">
        <v>15</v>
      </c>
      <c r="O19" s="66" t="s">
        <v>17</v>
      </c>
      <c r="P19" s="32">
        <f>VLOOKUP($O19,$O$11:$Q$14,2,FALSE)*VLOOKUP(P$17,$O$11:$Q$14,3,FALSE)</f>
        <v>0.2574</v>
      </c>
      <c r="Q19" s="32">
        <f t="shared" si="0"/>
        <v>0.1014</v>
      </c>
      <c r="R19" s="43">
        <f t="shared" si="0"/>
        <v>0.027300000000000005</v>
      </c>
      <c r="S19" s="44">
        <f t="shared" si="0"/>
        <v>0.0039000000000000003</v>
      </c>
    </row>
    <row r="20" spans="1:19" ht="14.25" outlineLevel="1">
      <c r="A20" s="1">
        <f>ROW()</f>
        <v>20</v>
      </c>
      <c r="M20" t="s">
        <v>14</v>
      </c>
      <c r="N20" t="s">
        <v>15</v>
      </c>
      <c r="O20" s="66" t="s">
        <v>18</v>
      </c>
      <c r="P20" s="32">
        <f>VLOOKUP($O20,$O$11:$Q$14,2,FALSE)*VLOOKUP(P$17,$O$11:$Q$14,3,FALSE)</f>
        <v>0.0858</v>
      </c>
      <c r="Q20" s="43">
        <f t="shared" si="0"/>
        <v>0.033800000000000004</v>
      </c>
      <c r="R20" s="32">
        <f t="shared" si="0"/>
        <v>0.0091</v>
      </c>
      <c r="S20" s="44">
        <f t="shared" si="0"/>
        <v>0.0013000000000000002</v>
      </c>
    </row>
    <row r="21" spans="1:19" ht="14.25" outlineLevel="1">
      <c r="A21" s="1">
        <f>ROW()</f>
        <v>21</v>
      </c>
      <c r="M21" t="s">
        <v>14</v>
      </c>
      <c r="N21" t="s">
        <v>15</v>
      </c>
      <c r="O21" s="67" t="s">
        <v>19</v>
      </c>
      <c r="P21" s="33">
        <f>VLOOKUP($O21,$O$11:$Q$14,2,FALSE)*VLOOKUP(P$17,$O$11:$Q$14,3,FALSE)</f>
        <v>0.026400000000000003</v>
      </c>
      <c r="Q21" s="33">
        <f t="shared" si="0"/>
        <v>0.010400000000000001</v>
      </c>
      <c r="R21" s="33">
        <f t="shared" si="0"/>
        <v>0.0028000000000000004</v>
      </c>
      <c r="S21" s="34">
        <f t="shared" si="0"/>
        <v>0.0004</v>
      </c>
    </row>
    <row r="22" ht="14.25" outlineLevel="1">
      <c r="A22" s="1">
        <f>ROW()</f>
        <v>22</v>
      </c>
    </row>
    <row r="23" spans="1:15" ht="14.25" outlineLevel="1">
      <c r="A23" s="1">
        <f>ROW()</f>
        <v>23</v>
      </c>
      <c r="C23" t="s">
        <v>34</v>
      </c>
      <c r="D23" s="13"/>
      <c r="M23" t="s">
        <v>20</v>
      </c>
      <c r="N23" t="s">
        <v>23</v>
      </c>
      <c r="O23" s="39">
        <f>Assumptions!O30</f>
        <v>7150</v>
      </c>
    </row>
    <row r="24" spans="1:15" ht="14.25" outlineLevel="1">
      <c r="A24" s="1">
        <f>ROW()</f>
        <v>24</v>
      </c>
      <c r="C24" t="s">
        <v>33</v>
      </c>
      <c r="D24" s="13"/>
      <c r="M24" t="s">
        <v>20</v>
      </c>
      <c r="N24" t="s">
        <v>23</v>
      </c>
      <c r="O24" s="39">
        <f>Assumptions!O31</f>
        <v>7150</v>
      </c>
    </row>
    <row r="25" spans="1:4" ht="14.25" outlineLevel="1">
      <c r="A25" s="1">
        <f>ROW()</f>
        <v>25</v>
      </c>
      <c r="C25" s="14"/>
      <c r="D25" s="13"/>
    </row>
    <row r="26" spans="1:17" ht="14.25" outlineLevel="1">
      <c r="A26" s="1">
        <f>ROW()</f>
        <v>26</v>
      </c>
      <c r="C26" t="s">
        <v>50</v>
      </c>
      <c r="P26" s="18" t="s">
        <v>8</v>
      </c>
      <c r="Q26" s="18" t="s">
        <v>7</v>
      </c>
    </row>
    <row r="27" spans="1:17" ht="14.25" outlineLevel="1">
      <c r="A27" s="1">
        <f>ROW()</f>
        <v>27</v>
      </c>
      <c r="D27" t="s">
        <v>60</v>
      </c>
      <c r="M27" t="s">
        <v>14</v>
      </c>
      <c r="N27" t="s">
        <v>23</v>
      </c>
      <c r="O27" s="65" t="s">
        <v>16</v>
      </c>
      <c r="P27" s="47">
        <f>O$23*P11</f>
        <v>3146</v>
      </c>
      <c r="Q27" s="47">
        <f>O$24*Q11</f>
        <v>4719</v>
      </c>
    </row>
    <row r="28" spans="1:17" ht="14.25" outlineLevel="1">
      <c r="A28" s="1">
        <f>ROW()</f>
        <v>28</v>
      </c>
      <c r="M28" t="s">
        <v>14</v>
      </c>
      <c r="N28" t="s">
        <v>23</v>
      </c>
      <c r="O28" s="66" t="s">
        <v>17</v>
      </c>
      <c r="P28" s="47">
        <f>O$23*P12</f>
        <v>2788.5</v>
      </c>
      <c r="Q28" s="47">
        <f>O$24*Q12</f>
        <v>1859</v>
      </c>
    </row>
    <row r="29" spans="1:17" ht="14.25" outlineLevel="1">
      <c r="A29" s="1">
        <f>ROW()</f>
        <v>29</v>
      </c>
      <c r="M29" t="s">
        <v>14</v>
      </c>
      <c r="N29" t="s">
        <v>23</v>
      </c>
      <c r="O29" s="66" t="s">
        <v>18</v>
      </c>
      <c r="P29" s="47">
        <f>O$23*P13</f>
        <v>929.5</v>
      </c>
      <c r="Q29" s="47">
        <f>O$24*Q13</f>
        <v>500.50000000000006</v>
      </c>
    </row>
    <row r="30" spans="1:17" ht="14.25" outlineLevel="1">
      <c r="A30" s="1">
        <f>ROW()</f>
        <v>30</v>
      </c>
      <c r="M30" t="s">
        <v>14</v>
      </c>
      <c r="N30" t="s">
        <v>23</v>
      </c>
      <c r="O30" s="67" t="s">
        <v>19</v>
      </c>
      <c r="P30" s="47">
        <f>O$23*P14</f>
        <v>286</v>
      </c>
      <c r="Q30" s="47">
        <f>O$24*Q14</f>
        <v>71.5</v>
      </c>
    </row>
    <row r="31" spans="1:17" ht="15" outlineLevel="1">
      <c r="A31" s="1">
        <f>ROW()</f>
        <v>31</v>
      </c>
      <c r="M31" t="s">
        <v>14</v>
      </c>
      <c r="N31" t="s">
        <v>23</v>
      </c>
      <c r="O31" s="65" t="s">
        <v>24</v>
      </c>
      <c r="P31" s="49">
        <f>SUM(P27:P30)</f>
        <v>7150</v>
      </c>
      <c r="Q31" s="49">
        <f>SUM(Q27:Q30)</f>
        <v>7150</v>
      </c>
    </row>
    <row r="32" ht="14.25" outlineLevel="1">
      <c r="A32" s="1">
        <f>ROW()</f>
        <v>32</v>
      </c>
    </row>
    <row r="33" spans="1:19" ht="14.25" outlineLevel="1">
      <c r="A33" s="1">
        <f>ROW()</f>
        <v>33</v>
      </c>
      <c r="D33" t="s">
        <v>61</v>
      </c>
      <c r="P33" s="25" t="s">
        <v>7</v>
      </c>
      <c r="Q33" s="16"/>
      <c r="R33" s="16"/>
      <c r="S33" s="17"/>
    </row>
    <row r="34" spans="1:20" ht="14.25" outlineLevel="1">
      <c r="A34" s="1">
        <f>ROW()</f>
        <v>34</v>
      </c>
      <c r="O34" s="18" t="s">
        <v>8</v>
      </c>
      <c r="P34" s="65" t="s">
        <v>16</v>
      </c>
      <c r="Q34" s="65" t="s">
        <v>17</v>
      </c>
      <c r="R34" s="65" t="s">
        <v>18</v>
      </c>
      <c r="S34" s="65" t="s">
        <v>19</v>
      </c>
      <c r="T34" s="65" t="s">
        <v>24</v>
      </c>
    </row>
    <row r="35" spans="1:20" ht="14.25" outlineLevel="1">
      <c r="A35" s="1">
        <f>ROW()</f>
        <v>35</v>
      </c>
      <c r="M35" t="s">
        <v>14</v>
      </c>
      <c r="N35" t="s">
        <v>23</v>
      </c>
      <c r="O35" s="65" t="s">
        <v>16</v>
      </c>
      <c r="P35" s="54">
        <f aca="true" t="shared" si="1" ref="P35:S38">MIN($P$31*P18,$Q$31*P18)</f>
        <v>2076.36</v>
      </c>
      <c r="Q35" s="55">
        <f t="shared" si="1"/>
        <v>817.96</v>
      </c>
      <c r="R35" s="55">
        <f t="shared" si="1"/>
        <v>220.22000000000003</v>
      </c>
      <c r="S35" s="56">
        <f t="shared" si="1"/>
        <v>31.46</v>
      </c>
      <c r="T35" s="57">
        <f>SUM(P35:S35)</f>
        <v>3146</v>
      </c>
    </row>
    <row r="36" spans="1:20" ht="14.25" outlineLevel="1">
      <c r="A36" s="1">
        <f>ROW()</f>
        <v>36</v>
      </c>
      <c r="M36" t="s">
        <v>14</v>
      </c>
      <c r="N36" t="s">
        <v>23</v>
      </c>
      <c r="O36" s="66" t="s">
        <v>17</v>
      </c>
      <c r="P36" s="54">
        <f t="shared" si="1"/>
        <v>1840.41</v>
      </c>
      <c r="Q36" s="54">
        <f t="shared" si="1"/>
        <v>725.01</v>
      </c>
      <c r="R36" s="55">
        <f t="shared" si="1"/>
        <v>195.19500000000002</v>
      </c>
      <c r="S36" s="56">
        <f t="shared" si="1"/>
        <v>27.885</v>
      </c>
      <c r="T36" s="57">
        <f>SUM(P36:S36)</f>
        <v>2788.5000000000005</v>
      </c>
    </row>
    <row r="37" spans="1:20" ht="14.25" outlineLevel="1">
      <c r="A37" s="1">
        <f>ROW()</f>
        <v>37</v>
      </c>
      <c r="M37" t="s">
        <v>14</v>
      </c>
      <c r="N37" t="s">
        <v>23</v>
      </c>
      <c r="O37" s="66" t="s">
        <v>18</v>
      </c>
      <c r="P37" s="54">
        <f t="shared" si="1"/>
        <v>613.47</v>
      </c>
      <c r="Q37" s="55">
        <f t="shared" si="1"/>
        <v>241.67000000000002</v>
      </c>
      <c r="R37" s="54">
        <f t="shared" si="1"/>
        <v>65.065</v>
      </c>
      <c r="S37" s="56">
        <f t="shared" si="1"/>
        <v>9.295000000000002</v>
      </c>
      <c r="T37" s="57">
        <f>SUM(P37:S37)</f>
        <v>929.5000000000001</v>
      </c>
    </row>
    <row r="38" spans="1:20" ht="14.25" outlineLevel="1">
      <c r="A38" s="1">
        <f>ROW()</f>
        <v>38</v>
      </c>
      <c r="M38" t="s">
        <v>14</v>
      </c>
      <c r="N38" t="s">
        <v>23</v>
      </c>
      <c r="O38" s="67" t="s">
        <v>19</v>
      </c>
      <c r="P38" s="58">
        <f t="shared" si="1"/>
        <v>188.76000000000002</v>
      </c>
      <c r="Q38" s="58">
        <f t="shared" si="1"/>
        <v>74.36000000000001</v>
      </c>
      <c r="R38" s="58">
        <f t="shared" si="1"/>
        <v>20.020000000000003</v>
      </c>
      <c r="S38" s="59">
        <f t="shared" si="1"/>
        <v>2.8600000000000003</v>
      </c>
      <c r="T38" s="57">
        <f>SUM(P38:S38)</f>
        <v>286</v>
      </c>
    </row>
    <row r="39" spans="1:20" ht="15" outlineLevel="1">
      <c r="A39" s="1">
        <f>ROW()</f>
        <v>39</v>
      </c>
      <c r="M39" t="s">
        <v>14</v>
      </c>
      <c r="N39" t="s">
        <v>23</v>
      </c>
      <c r="O39" s="65" t="s">
        <v>24</v>
      </c>
      <c r="P39" s="60">
        <f>SUM(P35:P38)</f>
        <v>4719.000000000001</v>
      </c>
      <c r="Q39" s="60">
        <f>SUM(Q35:Q38)</f>
        <v>1859</v>
      </c>
      <c r="R39" s="60">
        <f>SUM(R35:R38)</f>
        <v>500.50000000000006</v>
      </c>
      <c r="S39" s="60">
        <f>SUM(S35:S38)</f>
        <v>71.5</v>
      </c>
      <c r="T39" s="61">
        <f>SUM(P35:S38)</f>
        <v>7150</v>
      </c>
    </row>
    <row r="40" ht="14.25" outlineLevel="1">
      <c r="A40" s="1">
        <f>ROW()</f>
        <v>40</v>
      </c>
    </row>
    <row r="41" spans="1:2" ht="15">
      <c r="A41" s="1">
        <f>ROW()</f>
        <v>41</v>
      </c>
      <c r="B41" s="15" t="s">
        <v>70</v>
      </c>
    </row>
    <row r="42" spans="1:19" ht="15" outlineLevel="1">
      <c r="A42" s="1">
        <f>ROW()</f>
        <v>42</v>
      </c>
      <c r="B42" s="15"/>
      <c r="C42" t="s">
        <v>54</v>
      </c>
      <c r="P42" s="25" t="s">
        <v>7</v>
      </c>
      <c r="Q42" s="16"/>
      <c r="R42" s="16"/>
      <c r="S42" s="17"/>
    </row>
    <row r="43" spans="1:20" ht="15" outlineLevel="1">
      <c r="A43" s="1">
        <f>ROW()</f>
        <v>43</v>
      </c>
      <c r="B43" s="15"/>
      <c r="O43" s="18" t="s">
        <v>8</v>
      </c>
      <c r="P43" s="65" t="s">
        <v>16</v>
      </c>
      <c r="Q43" s="65" t="s">
        <v>17</v>
      </c>
      <c r="R43" s="65" t="s">
        <v>18</v>
      </c>
      <c r="S43" s="65" t="s">
        <v>19</v>
      </c>
      <c r="T43" s="65" t="s">
        <v>24</v>
      </c>
    </row>
    <row r="44" spans="1:20" ht="15" outlineLevel="1">
      <c r="A44" s="1">
        <f>ROW()</f>
        <v>44</v>
      </c>
      <c r="B44" s="15"/>
      <c r="M44" t="s">
        <v>14</v>
      </c>
      <c r="N44" t="s">
        <v>23</v>
      </c>
      <c r="O44" s="65" t="s">
        <v>16</v>
      </c>
      <c r="P44" s="54" t="str">
        <f aca="true" t="shared" si="2" ref="P44:S47">IF(P5="Y"," ",P35)</f>
        <v> </v>
      </c>
      <c r="Q44" s="55">
        <f t="shared" si="2"/>
        <v>817.96</v>
      </c>
      <c r="R44" s="55">
        <f t="shared" si="2"/>
        <v>220.22000000000003</v>
      </c>
      <c r="S44" s="56">
        <f t="shared" si="2"/>
        <v>31.46</v>
      </c>
      <c r="T44" s="57">
        <f>SUM(P44:S44)</f>
        <v>1069.64</v>
      </c>
    </row>
    <row r="45" spans="1:20" ht="15" outlineLevel="1">
      <c r="A45" s="1">
        <f>ROW()</f>
        <v>45</v>
      </c>
      <c r="B45" s="15"/>
      <c r="M45" t="s">
        <v>14</v>
      </c>
      <c r="N45" t="s">
        <v>23</v>
      </c>
      <c r="O45" s="66" t="s">
        <v>17</v>
      </c>
      <c r="P45" s="54" t="str">
        <f t="shared" si="2"/>
        <v> </v>
      </c>
      <c r="Q45" s="54" t="str">
        <f t="shared" si="2"/>
        <v> </v>
      </c>
      <c r="R45" s="55">
        <f t="shared" si="2"/>
        <v>195.19500000000002</v>
      </c>
      <c r="S45" s="56">
        <f t="shared" si="2"/>
        <v>27.885</v>
      </c>
      <c r="T45" s="57">
        <f>SUM(P45:S45)</f>
        <v>223.08</v>
      </c>
    </row>
    <row r="46" spans="1:20" ht="15" outlineLevel="1">
      <c r="A46" s="1">
        <f>ROW()</f>
        <v>46</v>
      </c>
      <c r="B46" s="15"/>
      <c r="M46" t="s">
        <v>14</v>
      </c>
      <c r="N46" t="s">
        <v>23</v>
      </c>
      <c r="O46" s="66" t="s">
        <v>18</v>
      </c>
      <c r="P46" s="54" t="str">
        <f t="shared" si="2"/>
        <v> </v>
      </c>
      <c r="Q46" s="55">
        <f t="shared" si="2"/>
        <v>241.67000000000002</v>
      </c>
      <c r="R46" s="54" t="str">
        <f t="shared" si="2"/>
        <v> </v>
      </c>
      <c r="S46" s="56">
        <f t="shared" si="2"/>
        <v>9.295000000000002</v>
      </c>
      <c r="T46" s="57">
        <f>SUM(P46:S46)</f>
        <v>250.96500000000003</v>
      </c>
    </row>
    <row r="47" spans="1:20" ht="15" outlineLevel="1">
      <c r="A47" s="1">
        <f>ROW()</f>
        <v>47</v>
      </c>
      <c r="B47" s="15"/>
      <c r="M47" t="s">
        <v>14</v>
      </c>
      <c r="N47" t="s">
        <v>23</v>
      </c>
      <c r="O47" s="67" t="s">
        <v>19</v>
      </c>
      <c r="P47" s="58" t="str">
        <f t="shared" si="2"/>
        <v> </v>
      </c>
      <c r="Q47" s="58" t="str">
        <f t="shared" si="2"/>
        <v> </v>
      </c>
      <c r="R47" s="58" t="str">
        <f t="shared" si="2"/>
        <v> </v>
      </c>
      <c r="S47" s="59" t="str">
        <f t="shared" si="2"/>
        <v> </v>
      </c>
      <c r="T47" s="57">
        <f>SUM(P47:S47)</f>
        <v>0</v>
      </c>
    </row>
    <row r="48" spans="1:20" ht="15" outlineLevel="1">
      <c r="A48" s="1">
        <f>ROW()</f>
        <v>48</v>
      </c>
      <c r="B48" s="15"/>
      <c r="M48" t="s">
        <v>14</v>
      </c>
      <c r="N48" t="s">
        <v>23</v>
      </c>
      <c r="O48" s="65" t="s">
        <v>24</v>
      </c>
      <c r="P48" s="60">
        <f>SUM(P44:P47)</f>
        <v>0</v>
      </c>
      <c r="Q48" s="60">
        <f>SUM(Q44:Q47)</f>
        <v>1059.63</v>
      </c>
      <c r="R48" s="60">
        <f>SUM(R44:R47)</f>
        <v>415.4150000000001</v>
      </c>
      <c r="S48" s="60">
        <f>SUM(S44:S47)</f>
        <v>68.64</v>
      </c>
      <c r="T48" s="61">
        <f>SUM(P44:S47)</f>
        <v>1543.6850000000002</v>
      </c>
    </row>
    <row r="49" spans="1:2" ht="15" outlineLevel="1">
      <c r="A49" s="1">
        <f>ROW()</f>
        <v>49</v>
      </c>
      <c r="B49" s="15"/>
    </row>
    <row r="50" spans="1:21" ht="15" customHeight="1" outlineLevel="1">
      <c r="A50" s="1">
        <f>ROW()</f>
        <v>50</v>
      </c>
      <c r="C50" t="s">
        <v>30</v>
      </c>
      <c r="O50" s="87" t="s">
        <v>67</v>
      </c>
      <c r="P50" s="25" t="s">
        <v>68</v>
      </c>
      <c r="Q50" s="16"/>
      <c r="R50" s="16"/>
      <c r="S50" s="16"/>
      <c r="T50" s="16"/>
      <c r="U50" s="17"/>
    </row>
    <row r="51" spans="1:21" ht="14.25" outlineLevel="1">
      <c r="A51" s="1">
        <f>ROW()</f>
        <v>51</v>
      </c>
      <c r="O51" s="89"/>
      <c r="P51" s="65" t="s">
        <v>42</v>
      </c>
      <c r="Q51" s="65" t="s">
        <v>43</v>
      </c>
      <c r="R51" s="65" t="s">
        <v>44</v>
      </c>
      <c r="S51" s="65" t="s">
        <v>45</v>
      </c>
      <c r="T51" s="65" t="s">
        <v>46</v>
      </c>
      <c r="U51" s="65" t="s">
        <v>47</v>
      </c>
    </row>
    <row r="52" spans="1:21" ht="14.25" outlineLevel="1">
      <c r="A52" s="1">
        <f>ROW()</f>
        <v>52</v>
      </c>
      <c r="M52" t="s">
        <v>14</v>
      </c>
      <c r="N52" t="s">
        <v>23</v>
      </c>
      <c r="O52" s="65" t="s">
        <v>62</v>
      </c>
      <c r="Q52" s="47"/>
      <c r="R52" s="47"/>
      <c r="S52" s="47"/>
      <c r="T52" s="47"/>
      <c r="U52" s="47"/>
    </row>
    <row r="53" spans="1:21" ht="14.25" outlineLevel="1">
      <c r="A53" s="1">
        <f>ROW()</f>
        <v>53</v>
      </c>
      <c r="M53" t="s">
        <v>14</v>
      </c>
      <c r="N53" t="s">
        <v>23</v>
      </c>
      <c r="O53" s="66" t="s">
        <v>63</v>
      </c>
      <c r="P53" s="47">
        <f>MIN(P31*R19,Q31*Q20)</f>
        <v>195.19500000000002</v>
      </c>
      <c r="Q53" s="47"/>
      <c r="R53" s="47"/>
      <c r="S53" s="47"/>
      <c r="T53" s="47"/>
      <c r="U53" s="47"/>
    </row>
    <row r="54" spans="1:21" ht="14.25" outlineLevel="1">
      <c r="A54" s="1">
        <f>ROW()</f>
        <v>54</v>
      </c>
      <c r="M54" t="s">
        <v>14</v>
      </c>
      <c r="N54" t="s">
        <v>23</v>
      </c>
      <c r="O54" s="66" t="s">
        <v>64</v>
      </c>
      <c r="P54" s="48">
        <f>P53</f>
        <v>195.19500000000002</v>
      </c>
      <c r="Q54" s="47"/>
      <c r="R54" s="47"/>
      <c r="S54" s="47"/>
      <c r="T54" s="47"/>
      <c r="U54" s="47"/>
    </row>
    <row r="55" spans="1:21" ht="14.25" outlineLevel="1">
      <c r="A55" s="1">
        <f>ROW()</f>
        <v>55</v>
      </c>
      <c r="M55" t="s">
        <v>14</v>
      </c>
      <c r="N55" t="s">
        <v>23</v>
      </c>
      <c r="O55" s="67" t="s">
        <v>65</v>
      </c>
      <c r="P55" s="47"/>
      <c r="Q55" s="47"/>
      <c r="R55" s="47"/>
      <c r="S55" s="47"/>
      <c r="T55" s="47"/>
      <c r="U55" s="47"/>
    </row>
    <row r="56" spans="1:21" ht="14.25" outlineLevel="1">
      <c r="A56" s="1">
        <f>ROW()</f>
        <v>56</v>
      </c>
      <c r="O56" s="65" t="s">
        <v>24</v>
      </c>
      <c r="P56" s="46">
        <f>SUM(P53:P55)</f>
        <v>390.39000000000004</v>
      </c>
      <c r="Q56" s="46">
        <f>SUM(Q52:Q55)</f>
        <v>0</v>
      </c>
      <c r="R56" s="46">
        <f>SUM(R52:R55)</f>
        <v>0</v>
      </c>
      <c r="S56" s="46">
        <f>SUM(S52:S55)</f>
        <v>0</v>
      </c>
      <c r="T56" s="46">
        <f>SUM(T52:T55)</f>
        <v>0</v>
      </c>
      <c r="U56" s="46">
        <f>SUM(U52:U55)</f>
        <v>0</v>
      </c>
    </row>
    <row r="57" ht="14.25" outlineLevel="1">
      <c r="A57" s="1">
        <f>ROW()</f>
        <v>57</v>
      </c>
    </row>
    <row r="58" spans="1:15" ht="14.25" outlineLevel="1">
      <c r="A58" s="1">
        <f>ROW()</f>
        <v>58</v>
      </c>
      <c r="C58" t="s">
        <v>85</v>
      </c>
      <c r="M58" t="s">
        <v>14</v>
      </c>
      <c r="N58" t="s">
        <v>23</v>
      </c>
      <c r="O58" s="51">
        <f>SUM(P56:U56)</f>
        <v>390.39000000000004</v>
      </c>
    </row>
    <row r="59" spans="1:15" ht="14.25" outlineLevel="1">
      <c r="A59" s="1"/>
      <c r="C59" t="s">
        <v>84</v>
      </c>
      <c r="M59" t="s">
        <v>14</v>
      </c>
      <c r="N59" t="s">
        <v>23</v>
      </c>
      <c r="O59" s="51">
        <f>SUMIF(P$5:S$8,"Y",P$35:S$38)</f>
        <v>5606.3150000000005</v>
      </c>
    </row>
    <row r="60" spans="1:15" ht="14.25" outlineLevel="1">
      <c r="A60" s="1">
        <f>ROW()</f>
        <v>60</v>
      </c>
      <c r="C60" t="s">
        <v>59</v>
      </c>
      <c r="M60" t="s">
        <v>14</v>
      </c>
      <c r="N60" t="s">
        <v>23</v>
      </c>
      <c r="O60" s="51">
        <f>O58+O59</f>
        <v>5996.705000000001</v>
      </c>
    </row>
    <row r="61" ht="14.25" outlineLevel="1">
      <c r="A61" s="1">
        <f>ROW()</f>
        <v>61</v>
      </c>
    </row>
    <row r="62" spans="1:2" ht="15">
      <c r="A62" s="1">
        <f>ROW()</f>
        <v>62</v>
      </c>
      <c r="B62" s="15" t="s">
        <v>71</v>
      </c>
    </row>
    <row r="63" spans="1:15" ht="14.25" outlineLevel="1">
      <c r="A63" s="1">
        <f>ROW()</f>
        <v>63</v>
      </c>
      <c r="C63" t="s">
        <v>57</v>
      </c>
      <c r="D63" s="13"/>
      <c r="M63" t="s">
        <v>20</v>
      </c>
      <c r="N63" t="s">
        <v>15</v>
      </c>
      <c r="O63" s="38">
        <f>Assumptions!O33</f>
        <v>0.05</v>
      </c>
    </row>
    <row r="64" ht="14.25" outlineLevel="1">
      <c r="A64" s="1">
        <f>ROW()</f>
        <v>64</v>
      </c>
    </row>
    <row r="65" spans="1:19" ht="15" outlineLevel="1">
      <c r="A65" s="1">
        <f>ROW()</f>
        <v>65</v>
      </c>
      <c r="B65" s="15"/>
      <c r="C65" t="s">
        <v>54</v>
      </c>
      <c r="P65" s="25" t="s">
        <v>7</v>
      </c>
      <c r="Q65" s="16"/>
      <c r="R65" s="16"/>
      <c r="S65" s="17"/>
    </row>
    <row r="66" spans="1:20" ht="15" outlineLevel="1">
      <c r="A66" s="1">
        <f>ROW()</f>
        <v>66</v>
      </c>
      <c r="B66" s="15"/>
      <c r="O66" s="18" t="s">
        <v>8</v>
      </c>
      <c r="P66" s="65" t="s">
        <v>16</v>
      </c>
      <c r="Q66" s="65" t="s">
        <v>17</v>
      </c>
      <c r="R66" s="65" t="s">
        <v>18</v>
      </c>
      <c r="S66" s="65" t="s">
        <v>19</v>
      </c>
      <c r="T66" s="65" t="s">
        <v>24</v>
      </c>
    </row>
    <row r="67" spans="1:20" ht="15" outlineLevel="1">
      <c r="A67" s="1">
        <f>ROW()</f>
        <v>67</v>
      </c>
      <c r="B67" s="15"/>
      <c r="M67" t="s">
        <v>14</v>
      </c>
      <c r="N67" t="s">
        <v>23</v>
      </c>
      <c r="O67" s="65" t="s">
        <v>16</v>
      </c>
      <c r="P67" s="54">
        <f aca="true" t="shared" si="3" ref="P67:S70">IF(P5="Y",P35*$O$63,P35)</f>
        <v>103.81800000000001</v>
      </c>
      <c r="Q67" s="55">
        <f t="shared" si="3"/>
        <v>817.96</v>
      </c>
      <c r="R67" s="55">
        <f t="shared" si="3"/>
        <v>220.22000000000003</v>
      </c>
      <c r="S67" s="56">
        <f t="shared" si="3"/>
        <v>31.46</v>
      </c>
      <c r="T67" s="57">
        <f>SUM(P67:S67)</f>
        <v>1173.458</v>
      </c>
    </row>
    <row r="68" spans="1:20" ht="15" outlineLevel="1">
      <c r="A68" s="1">
        <f>ROW()</f>
        <v>68</v>
      </c>
      <c r="B68" s="15"/>
      <c r="M68" t="s">
        <v>14</v>
      </c>
      <c r="N68" t="s">
        <v>23</v>
      </c>
      <c r="O68" s="66" t="s">
        <v>17</v>
      </c>
      <c r="P68" s="54">
        <f t="shared" si="3"/>
        <v>92.02050000000001</v>
      </c>
      <c r="Q68" s="54">
        <f t="shared" si="3"/>
        <v>36.2505</v>
      </c>
      <c r="R68" s="55">
        <f t="shared" si="3"/>
        <v>195.19500000000002</v>
      </c>
      <c r="S68" s="56">
        <f t="shared" si="3"/>
        <v>27.885</v>
      </c>
      <c r="T68" s="57">
        <f>SUM(P68:S68)</f>
        <v>351.351</v>
      </c>
    </row>
    <row r="69" spans="1:20" ht="15" outlineLevel="1">
      <c r="A69" s="1">
        <f>ROW()</f>
        <v>69</v>
      </c>
      <c r="B69" s="15"/>
      <c r="M69" t="s">
        <v>14</v>
      </c>
      <c r="N69" t="s">
        <v>23</v>
      </c>
      <c r="O69" s="66" t="s">
        <v>18</v>
      </c>
      <c r="P69" s="54">
        <f t="shared" si="3"/>
        <v>30.673500000000004</v>
      </c>
      <c r="Q69" s="55">
        <f t="shared" si="3"/>
        <v>241.67000000000002</v>
      </c>
      <c r="R69" s="54">
        <f t="shared" si="3"/>
        <v>3.25325</v>
      </c>
      <c r="S69" s="56">
        <f t="shared" si="3"/>
        <v>9.295000000000002</v>
      </c>
      <c r="T69" s="57">
        <f>SUM(P69:S69)</f>
        <v>284.89175</v>
      </c>
    </row>
    <row r="70" spans="1:20" ht="15" outlineLevel="1">
      <c r="A70" s="1">
        <f>ROW()</f>
        <v>70</v>
      </c>
      <c r="B70" s="15"/>
      <c r="M70" t="s">
        <v>14</v>
      </c>
      <c r="N70" t="s">
        <v>23</v>
      </c>
      <c r="O70" s="67" t="s">
        <v>19</v>
      </c>
      <c r="P70" s="58">
        <f t="shared" si="3"/>
        <v>9.438</v>
      </c>
      <c r="Q70" s="58">
        <f t="shared" si="3"/>
        <v>3.718000000000001</v>
      </c>
      <c r="R70" s="58">
        <f t="shared" si="3"/>
        <v>1.0010000000000001</v>
      </c>
      <c r="S70" s="59">
        <f t="shared" si="3"/>
        <v>0.14300000000000002</v>
      </c>
      <c r="T70" s="57">
        <f>SUM(P70:S70)</f>
        <v>14.300000000000002</v>
      </c>
    </row>
    <row r="71" spans="1:20" ht="15" outlineLevel="1">
      <c r="A71" s="1">
        <f>ROW()</f>
        <v>71</v>
      </c>
      <c r="B71" s="15"/>
      <c r="M71" t="s">
        <v>14</v>
      </c>
      <c r="N71" t="s">
        <v>23</v>
      </c>
      <c r="O71" s="65" t="s">
        <v>24</v>
      </c>
      <c r="P71" s="60">
        <f>SUM(P67:P70)</f>
        <v>235.95</v>
      </c>
      <c r="Q71" s="60">
        <f>SUM(Q67:Q70)</f>
        <v>1099.5985</v>
      </c>
      <c r="R71" s="60">
        <f>SUM(R67:R70)</f>
        <v>419.66925000000003</v>
      </c>
      <c r="S71" s="60">
        <f>SUM(S67:S70)</f>
        <v>68.783</v>
      </c>
      <c r="T71" s="61">
        <f>SUM(P67:S70)</f>
        <v>1824.0007500000006</v>
      </c>
    </row>
    <row r="72" ht="14.25" outlineLevel="1">
      <c r="A72" s="1">
        <f>ROW()</f>
        <v>72</v>
      </c>
    </row>
    <row r="73" spans="1:16" ht="14.25" outlineLevel="1">
      <c r="A73" s="1">
        <f>ROW()</f>
        <v>73</v>
      </c>
      <c r="C73" t="s">
        <v>69</v>
      </c>
      <c r="M73" t="s">
        <v>14</v>
      </c>
      <c r="N73" t="s">
        <v>23</v>
      </c>
      <c r="O73" s="51">
        <f>SUMIF(P5:S8,"Y",P67:S70)</f>
        <v>280.3157499999999</v>
      </c>
      <c r="P73" s="57"/>
    </row>
    <row r="74" ht="14.25" outlineLevel="1">
      <c r="A74" s="1">
        <f>ROW()</f>
        <v>74</v>
      </c>
    </row>
    <row r="75" spans="1:21" ht="15" customHeight="1" outlineLevel="1">
      <c r="A75" s="1">
        <f>ROW()</f>
        <v>75</v>
      </c>
      <c r="C75" t="s">
        <v>32</v>
      </c>
      <c r="O75" s="87" t="s">
        <v>67</v>
      </c>
      <c r="P75" s="25" t="s">
        <v>68</v>
      </c>
      <c r="Q75" s="16"/>
      <c r="R75" s="16"/>
      <c r="S75" s="16"/>
      <c r="T75" s="16"/>
      <c r="U75" s="17"/>
    </row>
    <row r="76" spans="1:21" ht="14.25" outlineLevel="1">
      <c r="A76" s="1">
        <f>ROW()</f>
        <v>76</v>
      </c>
      <c r="M76" t="s">
        <v>14</v>
      </c>
      <c r="N76" t="s">
        <v>23</v>
      </c>
      <c r="O76" s="88"/>
      <c r="P76" s="65" t="s">
        <v>42</v>
      </c>
      <c r="Q76" s="65" t="s">
        <v>43</v>
      </c>
      <c r="R76" s="65" t="s">
        <v>44</v>
      </c>
      <c r="S76" s="65" t="s">
        <v>45</v>
      </c>
      <c r="T76" s="65" t="s">
        <v>46</v>
      </c>
      <c r="U76" s="65" t="s">
        <v>47</v>
      </c>
    </row>
    <row r="77" spans="1:21" ht="14.25" outlineLevel="1">
      <c r="A77" s="1">
        <f>ROW()</f>
        <v>77</v>
      </c>
      <c r="M77" t="s">
        <v>14</v>
      </c>
      <c r="N77" t="s">
        <v>23</v>
      </c>
      <c r="O77" s="65" t="s">
        <v>62</v>
      </c>
      <c r="Q77" s="47">
        <f>MIN(P31*P19*O63,Q31*Q18)</f>
        <v>92.02050000000001</v>
      </c>
      <c r="R77" s="47">
        <f>MIN(P31*P20*O63,Q31*R18)</f>
        <v>30.673500000000004</v>
      </c>
      <c r="S77" s="47"/>
      <c r="T77" s="47"/>
      <c r="U77" s="47">
        <f>MIN(P31*P21*O63,Q31*S18)</f>
        <v>9.438</v>
      </c>
    </row>
    <row r="78" spans="1:21" ht="14.25" outlineLevel="1">
      <c r="A78" s="1">
        <f>ROW()</f>
        <v>78</v>
      </c>
      <c r="M78" t="s">
        <v>14</v>
      </c>
      <c r="N78" t="s">
        <v>23</v>
      </c>
      <c r="O78" s="66" t="s">
        <v>63</v>
      </c>
      <c r="P78" s="47">
        <f>MIN(P31*R19,Q31*Q20)</f>
        <v>195.19500000000002</v>
      </c>
      <c r="Q78" s="48">
        <f>Q77</f>
        <v>92.02050000000001</v>
      </c>
      <c r="R78" s="47"/>
      <c r="S78" s="47">
        <f>MIN(P31*Q21*O63,Q31*S19)</f>
        <v>3.718000000000001</v>
      </c>
      <c r="T78" s="47"/>
      <c r="U78" s="47"/>
    </row>
    <row r="79" spans="1:21" ht="14.25" outlineLevel="1">
      <c r="A79" s="1">
        <f>ROW()</f>
        <v>79</v>
      </c>
      <c r="M79" t="s">
        <v>14</v>
      </c>
      <c r="N79" t="s">
        <v>23</v>
      </c>
      <c r="O79" s="66" t="s">
        <v>64</v>
      </c>
      <c r="P79" s="48">
        <f>P78</f>
        <v>195.19500000000002</v>
      </c>
      <c r="Q79" s="47"/>
      <c r="R79" s="48">
        <f>R77</f>
        <v>30.673500000000004</v>
      </c>
      <c r="S79" s="47"/>
      <c r="T79" s="47">
        <f>MIN(P31*R21*O63,Q31*S20)</f>
        <v>1.0010000000000001</v>
      </c>
      <c r="U79" s="47"/>
    </row>
    <row r="80" spans="1:21" ht="14.25" outlineLevel="1">
      <c r="A80" s="1">
        <f>ROW()</f>
        <v>80</v>
      </c>
      <c r="M80" t="s">
        <v>14</v>
      </c>
      <c r="N80" t="s">
        <v>23</v>
      </c>
      <c r="O80" s="67" t="s">
        <v>65</v>
      </c>
      <c r="P80" s="47"/>
      <c r="Q80" s="47"/>
      <c r="R80" s="47"/>
      <c r="S80" s="48">
        <f>S78</f>
        <v>3.718000000000001</v>
      </c>
      <c r="T80" s="48">
        <f>T79</f>
        <v>1.0010000000000001</v>
      </c>
      <c r="U80" s="48">
        <f>U77</f>
        <v>9.438</v>
      </c>
    </row>
    <row r="81" spans="1:21" ht="14.25" outlineLevel="1">
      <c r="A81" s="1">
        <f>ROW()</f>
        <v>81</v>
      </c>
      <c r="M81" t="s">
        <v>14</v>
      </c>
      <c r="N81" t="s">
        <v>23</v>
      </c>
      <c r="O81" s="65" t="s">
        <v>24</v>
      </c>
      <c r="P81" s="46">
        <f>SUM(P78:P80)</f>
        <v>390.39000000000004</v>
      </c>
      <c r="Q81" s="46">
        <f>SUM(Q77:Q80)</f>
        <v>184.04100000000003</v>
      </c>
      <c r="R81" s="46">
        <f>SUM(R77:R80)</f>
        <v>61.34700000000001</v>
      </c>
      <c r="S81" s="46">
        <f>SUM(S77:S80)</f>
        <v>7.436000000000002</v>
      </c>
      <c r="T81" s="46">
        <f>SUM(T77:T80)</f>
        <v>2.0020000000000002</v>
      </c>
      <c r="U81" s="46">
        <f>SUM(U77:U80)</f>
        <v>18.876</v>
      </c>
    </row>
    <row r="82" ht="14.25" outlineLevel="1">
      <c r="A82" s="1">
        <f>ROW()</f>
        <v>82</v>
      </c>
    </row>
    <row r="83" spans="1:15" ht="14.25" outlineLevel="1">
      <c r="A83" s="1">
        <f>ROW()</f>
        <v>83</v>
      </c>
      <c r="C83" t="s">
        <v>86</v>
      </c>
      <c r="M83" t="s">
        <v>14</v>
      </c>
      <c r="N83" t="s">
        <v>23</v>
      </c>
      <c r="O83" s="51">
        <f>SUM(P81:U81)</f>
        <v>664.092</v>
      </c>
    </row>
    <row r="84" spans="1:15" ht="14.25" outlineLevel="1">
      <c r="A84" s="1"/>
      <c r="C84" t="s">
        <v>87</v>
      </c>
      <c r="M84" t="s">
        <v>14</v>
      </c>
      <c r="N84" t="s">
        <v>23</v>
      </c>
      <c r="O84" s="51">
        <f>SUMIF(P$5:S$8,"Y",P$35:S$38)-SUM(Q77,R77,S78,T79,U77)</f>
        <v>5469.464000000001</v>
      </c>
    </row>
    <row r="85" spans="1:16" ht="14.25" outlineLevel="1">
      <c r="A85" s="1"/>
      <c r="C85" t="s">
        <v>74</v>
      </c>
      <c r="M85" t="s">
        <v>14</v>
      </c>
      <c r="N85" t="s">
        <v>23</v>
      </c>
      <c r="O85" s="51">
        <f>O83+O84</f>
        <v>6133.5560000000005</v>
      </c>
      <c r="P85" s="57"/>
    </row>
    <row r="86" ht="14.25" outlineLevel="1">
      <c r="A86" s="1">
        <f>ROW()</f>
        <v>86</v>
      </c>
    </row>
    <row r="87" spans="1:18" ht="15">
      <c r="A87" s="1"/>
      <c r="B87" s="68" t="s">
        <v>72</v>
      </c>
      <c r="R87" s="57"/>
    </row>
    <row r="88" spans="1:15" ht="14.25" outlineLevel="1">
      <c r="A88" s="1">
        <f>ROW()</f>
        <v>88</v>
      </c>
      <c r="C88" t="s">
        <v>55</v>
      </c>
      <c r="M88" t="s">
        <v>20</v>
      </c>
      <c r="N88" t="s">
        <v>23</v>
      </c>
      <c r="O88" s="39">
        <f>O58</f>
        <v>390.39000000000004</v>
      </c>
    </row>
    <row r="89" spans="1:15" ht="14.25" outlineLevel="1">
      <c r="A89" s="1"/>
      <c r="C89" t="s">
        <v>56</v>
      </c>
      <c r="M89" t="s">
        <v>20</v>
      </c>
      <c r="N89" t="s">
        <v>23</v>
      </c>
      <c r="O89" s="39">
        <f>O83</f>
        <v>664.092</v>
      </c>
    </row>
    <row r="90" spans="1:15" ht="14.25" outlineLevel="1">
      <c r="A90" s="1">
        <f>ROW()</f>
        <v>90</v>
      </c>
      <c r="D90" t="s">
        <v>89</v>
      </c>
      <c r="M90" t="s">
        <v>14</v>
      </c>
      <c r="N90" t="s">
        <v>23</v>
      </c>
      <c r="O90" s="51">
        <f>O89-O88</f>
        <v>273.70199999999994</v>
      </c>
    </row>
    <row r="91" spans="1:15" ht="14.25" outlineLevel="1">
      <c r="A91" s="1">
        <f>ROW()</f>
        <v>91</v>
      </c>
      <c r="M91" t="s">
        <v>14</v>
      </c>
      <c r="N91" t="s">
        <v>15</v>
      </c>
      <c r="O91" s="50">
        <f>O90/O88</f>
        <v>0.7010989010989008</v>
      </c>
    </row>
    <row r="92" ht="14.25" outlineLevel="1">
      <c r="A92" s="1">
        <f>ROW()</f>
        <v>92</v>
      </c>
    </row>
    <row r="93" spans="1:15" ht="14.25" outlineLevel="1">
      <c r="A93" s="1">
        <f>ROW()</f>
        <v>93</v>
      </c>
      <c r="C93" t="s">
        <v>75</v>
      </c>
      <c r="M93" t="s">
        <v>20</v>
      </c>
      <c r="N93" t="s">
        <v>23</v>
      </c>
      <c r="O93" s="39">
        <f>O60</f>
        <v>5996.705000000001</v>
      </c>
    </row>
    <row r="94" spans="1:16" ht="14.25" outlineLevel="1">
      <c r="A94" s="1"/>
      <c r="C94" t="s">
        <v>58</v>
      </c>
      <c r="M94" t="s">
        <v>20</v>
      </c>
      <c r="N94" t="s">
        <v>23</v>
      </c>
      <c r="O94" s="39">
        <f>O85</f>
        <v>6133.5560000000005</v>
      </c>
      <c r="P94" s="57"/>
    </row>
    <row r="95" spans="1:16" ht="14.25" outlineLevel="1">
      <c r="A95" s="1">
        <f>ROW()</f>
        <v>95</v>
      </c>
      <c r="D95" t="s">
        <v>73</v>
      </c>
      <c r="M95" t="s">
        <v>14</v>
      </c>
      <c r="N95" t="s">
        <v>23</v>
      </c>
      <c r="O95" s="51">
        <f>O94-O93</f>
        <v>136.85099999999966</v>
      </c>
      <c r="P95" s="69"/>
    </row>
    <row r="96" spans="1:15" ht="14.25" outlineLevel="1">
      <c r="A96" s="1">
        <f>ROW()</f>
        <v>96</v>
      </c>
      <c r="M96" t="s">
        <v>14</v>
      </c>
      <c r="N96" t="s">
        <v>15</v>
      </c>
      <c r="O96" s="50">
        <f>O95/O93</f>
        <v>0.02282103255037552</v>
      </c>
    </row>
    <row r="97" ht="14.25" outlineLevel="1">
      <c r="A97" s="1">
        <f>ROW()</f>
        <v>97</v>
      </c>
    </row>
    <row r="98" spans="1:2" ht="15">
      <c r="A98" s="1">
        <f>ROW()</f>
        <v>98</v>
      </c>
      <c r="B98" s="15" t="s">
        <v>37</v>
      </c>
    </row>
    <row r="99" spans="1:15" ht="14.25" outlineLevel="1">
      <c r="A99" s="1">
        <f>ROW()</f>
        <v>99</v>
      </c>
      <c r="C99" t="s">
        <v>90</v>
      </c>
      <c r="M99" t="s">
        <v>20</v>
      </c>
      <c r="N99" t="s">
        <v>36</v>
      </c>
      <c r="O99" s="39">
        <f>Assumptions!O37</f>
        <v>66000</v>
      </c>
    </row>
    <row r="100" ht="14.25" outlineLevel="1">
      <c r="A100" s="1"/>
    </row>
    <row r="101" spans="1:15" ht="14.25" outlineLevel="1">
      <c r="A101" s="1"/>
      <c r="C101" t="s">
        <v>76</v>
      </c>
      <c r="M101" t="s">
        <v>20</v>
      </c>
      <c r="N101" t="s">
        <v>36</v>
      </c>
      <c r="O101" s="39">
        <f>Assumptions!O39</f>
        <v>75000</v>
      </c>
    </row>
    <row r="102" spans="1:15" ht="14.25" outlineLevel="1">
      <c r="A102" s="1"/>
      <c r="C102" t="s">
        <v>80</v>
      </c>
      <c r="M102" t="s">
        <v>20</v>
      </c>
      <c r="N102" t="s">
        <v>23</v>
      </c>
      <c r="O102" s="39">
        <f>Assumptions!O40</f>
        <v>18</v>
      </c>
    </row>
    <row r="103" spans="1:15" ht="14.25" outlineLevel="1">
      <c r="A103" s="1"/>
      <c r="C103" t="s">
        <v>81</v>
      </c>
      <c r="M103" t="s">
        <v>14</v>
      </c>
      <c r="N103" t="s">
        <v>36</v>
      </c>
      <c r="O103" s="39">
        <f>O101/O102</f>
        <v>4166.666666666667</v>
      </c>
    </row>
    <row r="104" ht="14.25" outlineLevel="1">
      <c r="A104" s="1"/>
    </row>
    <row r="105" spans="1:15" ht="14.25" outlineLevel="1">
      <c r="A105" s="1">
        <f>ROW()</f>
        <v>105</v>
      </c>
      <c r="C105" t="s">
        <v>77</v>
      </c>
      <c r="M105" t="s">
        <v>20</v>
      </c>
      <c r="N105" t="s">
        <v>36</v>
      </c>
      <c r="O105" s="39">
        <f>Assumptions!O41</f>
        <v>12000</v>
      </c>
    </row>
    <row r="106" ht="14.25" outlineLevel="1">
      <c r="A106" s="1">
        <f>ROW()</f>
        <v>106</v>
      </c>
    </row>
    <row r="107" spans="1:15" ht="14.25" outlineLevel="1">
      <c r="A107" s="1">
        <f>ROW()</f>
        <v>107</v>
      </c>
      <c r="C107" t="s">
        <v>38</v>
      </c>
      <c r="M107" t="s">
        <v>14</v>
      </c>
      <c r="N107" t="s">
        <v>36</v>
      </c>
      <c r="O107" s="39">
        <f>O95*O99-O95*(O105+O103)</f>
        <v>6819741.499999983</v>
      </c>
    </row>
    <row r="108" ht="14.25">
      <c r="A108" s="1">
        <f>ROW()</f>
        <v>108</v>
      </c>
    </row>
    <row r="109" ht="14.25">
      <c r="A109" s="1"/>
    </row>
    <row r="110" ht="14.25">
      <c r="A110" s="1"/>
    </row>
  </sheetData>
  <sheetProtection/>
  <mergeCells count="2">
    <mergeCell ref="O75:O76"/>
    <mergeCell ref="O50:O5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Philippe Coueignoux</cp:lastModifiedBy>
  <dcterms:modified xsi:type="dcterms:W3CDTF">2009-06-03T20:02:18Z</dcterms:modified>
  <cp:category/>
  <cp:version/>
  <cp:contentType/>
  <cp:contentStatus/>
</cp:coreProperties>
</file>